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K:\SASD\23CAFR\GASB 75 Templates\"/>
    </mc:Choice>
  </mc:AlternateContent>
  <xr:revisionPtr revIDLastSave="0" documentId="8_{C2740611-6E6A-4683-A5FC-F814F8AC189C}" xr6:coauthVersionLast="47" xr6:coauthVersionMax="47" xr10:uidLastSave="{00000000-0000-0000-0000-000000000000}"/>
  <bookViews>
    <workbookView xWindow="408" yWindow="0" windowWidth="22884" windowHeight="12336" tabRatio="824" xr2:uid="{00000000-000D-0000-FFFF-FFFF00000000}"/>
  </bookViews>
  <sheets>
    <sheet name="Info" sheetId="5" r:id="rId1"/>
    <sheet name="Detail" sheetId="1" r:id="rId2"/>
    <sheet name="Summary" sheetId="2" r:id="rId3"/>
    <sheet name="Disclosures" sheetId="3" r:id="rId4"/>
    <sheet name="Data" sheetId="4" state="hidden" r:id="rId5"/>
    <sheet name="ER Contributions" sheetId="6" state="hidden" r:id="rId6"/>
    <sheet name="75 - Summary Exhibit" sheetId="9" state="hidden" r:id="rId7"/>
    <sheet name="75- Deferred Amortization" sheetId="10" state="hidden" r:id="rId8"/>
    <sheet name="Noncap Contr Alloc" sheetId="11" state="hidden" r:id="rId9"/>
  </sheets>
  <definedNames>
    <definedName name="_xlnm.Print_Area" localSheetId="6">'75 - Summary Exhibit'!$A$1:$N$3</definedName>
    <definedName name="_xlnm.Print_Area" localSheetId="7">'75- Deferred Amortization'!$A$1:$F$315</definedName>
    <definedName name="_xlnm.Print_Area" localSheetId="4">Data!$A$1:$AK$88</definedName>
    <definedName name="_xlnm.Print_Area" localSheetId="1">Detail!$A$1:$G$63</definedName>
    <definedName name="_xlnm.Print_Area" localSheetId="3">Disclosures!$A$6:$J$75</definedName>
    <definedName name="_xlnm.Print_Area" localSheetId="5">'ER Contributions'!$A$1:$D$304</definedName>
    <definedName name="_xlnm.Print_Area" localSheetId="2">Summary!$A$1:$I$24</definedName>
    <definedName name="_xlnm.Print_Titles" localSheetId="7">'75- Deferred Amortization'!$2:$3</definedName>
    <definedName name="_xlnm.Print_Titles" localSheetId="3">Disclosures!$1:$4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4" i="4" l="1"/>
  <c r="Z5" i="4"/>
  <c r="C305" i="11" l="1"/>
  <c r="B10" i="5" l="1"/>
  <c r="N313" i="9" l="1"/>
  <c r="Z83" i="4" l="1"/>
  <c r="Z81" i="4"/>
  <c r="Z84" i="4"/>
  <c r="Z85" i="4"/>
  <c r="Z82"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6" i="4"/>
  <c r="Z7" i="4"/>
  <c r="Z8" i="4"/>
  <c r="Z9" i="4"/>
  <c r="Z10" i="4"/>
  <c r="Z11" i="4"/>
  <c r="Z12" i="4"/>
  <c r="Z13" i="4"/>
  <c r="H315" i="10"/>
  <c r="D315" i="10"/>
  <c r="E315" i="10"/>
  <c r="F315" i="10"/>
  <c r="G315" i="10"/>
  <c r="C315" i="10"/>
  <c r="D314" i="9" l="1"/>
  <c r="E314" i="9"/>
  <c r="F314" i="9"/>
  <c r="G314" i="9"/>
  <c r="H314" i="9"/>
  <c r="I314" i="9"/>
  <c r="J314" i="9"/>
  <c r="K314" i="9"/>
  <c r="L314" i="9"/>
  <c r="M314" i="9"/>
  <c r="C314" i="9"/>
  <c r="Z88" i="4" l="1"/>
  <c r="Z87" i="4"/>
  <c r="Z86" i="4"/>
  <c r="D304" i="6" l="1"/>
  <c r="N312" i="9" l="1"/>
  <c r="R4" i="4" l="1"/>
  <c r="N311" i="9" l="1"/>
  <c r="I5" i="4" l="1"/>
  <c r="AM5" i="4" s="1"/>
  <c r="N65" i="9" l="1"/>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2" i="9"/>
  <c r="N253" i="9"/>
  <c r="N254" i="9"/>
  <c r="N255" i="9"/>
  <c r="N256" i="9"/>
  <c r="N257" i="9"/>
  <c r="N258" i="9"/>
  <c r="N259" i="9"/>
  <c r="N260" i="9"/>
  <c r="N261" i="9"/>
  <c r="N262" i="9"/>
  <c r="N263" i="9"/>
  <c r="N264" i="9"/>
  <c r="N265" i="9"/>
  <c r="N266" i="9"/>
  <c r="N267" i="9"/>
  <c r="N268" i="9"/>
  <c r="N269" i="9"/>
  <c r="N270" i="9"/>
  <c r="N271" i="9"/>
  <c r="N272" i="9"/>
  <c r="N273" i="9"/>
  <c r="N274" i="9"/>
  <c r="N275" i="9"/>
  <c r="N276" i="9"/>
  <c r="N277" i="9"/>
  <c r="N278" i="9"/>
  <c r="N279" i="9"/>
  <c r="N280" i="9"/>
  <c r="N281" i="9"/>
  <c r="N282" i="9"/>
  <c r="N283" i="9"/>
  <c r="N284" i="9"/>
  <c r="N285" i="9"/>
  <c r="N286" i="9"/>
  <c r="N287" i="9"/>
  <c r="N288" i="9"/>
  <c r="N289" i="9"/>
  <c r="N290" i="9"/>
  <c r="N291" i="9"/>
  <c r="N292" i="9"/>
  <c r="N293" i="9"/>
  <c r="N294" i="9"/>
  <c r="N295" i="9"/>
  <c r="N296" i="9"/>
  <c r="N297" i="9"/>
  <c r="N298" i="9"/>
  <c r="N299" i="9"/>
  <c r="N300" i="9"/>
  <c r="N301" i="9"/>
  <c r="N302" i="9"/>
  <c r="N303" i="9"/>
  <c r="N304" i="9"/>
  <c r="N305" i="9"/>
  <c r="N306" i="9"/>
  <c r="N307" i="9"/>
  <c r="N308" i="9"/>
  <c r="N309" i="9"/>
  <c r="N310" i="9"/>
  <c r="N64" i="9"/>
  <c r="N59" i="9"/>
  <c r="N60" i="9"/>
  <c r="N61" i="9"/>
  <c r="N62" i="9"/>
  <c r="N63" i="9"/>
  <c r="N58" i="9"/>
  <c r="N53" i="9"/>
  <c r="N54" i="9"/>
  <c r="N55" i="9"/>
  <c r="N56" i="9"/>
  <c r="N57" i="9"/>
  <c r="N52" i="9"/>
  <c r="N47" i="9"/>
  <c r="N48" i="9"/>
  <c r="N49" i="9"/>
  <c r="N50" i="9"/>
  <c r="N51" i="9"/>
  <c r="N46" i="9"/>
  <c r="N41" i="9"/>
  <c r="N42" i="9"/>
  <c r="N43" i="9"/>
  <c r="N44" i="9"/>
  <c r="N45" i="9"/>
  <c r="N40" i="9"/>
  <c r="N35" i="9"/>
  <c r="N36" i="9"/>
  <c r="N37" i="9"/>
  <c r="N38" i="9"/>
  <c r="N39" i="9"/>
  <c r="N34" i="9"/>
  <c r="N29" i="9"/>
  <c r="N30" i="9"/>
  <c r="N31" i="9"/>
  <c r="N32" i="9"/>
  <c r="N33" i="9"/>
  <c r="N28" i="9"/>
  <c r="N23" i="9"/>
  <c r="N24" i="9"/>
  <c r="N25" i="9"/>
  <c r="N26" i="9"/>
  <c r="N27" i="9"/>
  <c r="N22" i="9"/>
  <c r="N17" i="9"/>
  <c r="N18" i="9"/>
  <c r="N19" i="9"/>
  <c r="N20" i="9"/>
  <c r="N21" i="9"/>
  <c r="N16" i="9"/>
  <c r="N11" i="9"/>
  <c r="N12" i="9"/>
  <c r="N13" i="9"/>
  <c r="N14" i="9"/>
  <c r="N15" i="9"/>
  <c r="N10" i="9"/>
  <c r="N5" i="9"/>
  <c r="N6" i="9"/>
  <c r="N7" i="9"/>
  <c r="N8" i="9"/>
  <c r="N9" i="9"/>
  <c r="N4" i="9"/>
  <c r="N314" i="9" l="1"/>
  <c r="C304" i="6"/>
  <c r="U5" i="4" l="1"/>
  <c r="T5" i="4"/>
  <c r="S5" i="4"/>
  <c r="R5" i="4"/>
  <c r="Q5" i="4"/>
  <c r="O5" i="4"/>
  <c r="N5" i="4"/>
  <c r="M5" i="4"/>
  <c r="AN5" i="4" s="1"/>
  <c r="J5" i="4"/>
  <c r="AP5" i="4" s="1"/>
  <c r="H5" i="4"/>
  <c r="AQ5" i="4" s="1"/>
  <c r="G5" i="4"/>
  <c r="AT5" i="4" s="1"/>
  <c r="E5" i="4"/>
  <c r="AS5" i="4" s="1"/>
  <c r="C5" i="4" l="1"/>
  <c r="H58" i="1" l="1"/>
  <c r="Q81" i="4" l="1"/>
  <c r="R81" i="4"/>
  <c r="S81" i="4"/>
  <c r="T81" i="4"/>
  <c r="U81" i="4"/>
  <c r="Q82" i="4"/>
  <c r="R82" i="4"/>
  <c r="S82" i="4"/>
  <c r="T82" i="4"/>
  <c r="U82" i="4"/>
  <c r="Q83" i="4"/>
  <c r="R83" i="4"/>
  <c r="S83" i="4"/>
  <c r="T83" i="4"/>
  <c r="U83" i="4"/>
  <c r="Q84" i="4"/>
  <c r="R84" i="4"/>
  <c r="S84" i="4"/>
  <c r="T84" i="4"/>
  <c r="U84" i="4"/>
  <c r="Q85" i="4"/>
  <c r="R85" i="4"/>
  <c r="S85" i="4"/>
  <c r="T85" i="4"/>
  <c r="U85" i="4"/>
  <c r="O81" i="4"/>
  <c r="O82" i="4"/>
  <c r="O83" i="4"/>
  <c r="O84" i="4"/>
  <c r="O85" i="4"/>
  <c r="C81" i="4"/>
  <c r="D81" i="4"/>
  <c r="E81" i="4"/>
  <c r="F81" i="4"/>
  <c r="G81" i="4"/>
  <c r="AT81" i="4" s="1"/>
  <c r="H81" i="4"/>
  <c r="AQ81" i="4" s="1"/>
  <c r="I81" i="4"/>
  <c r="J81" i="4"/>
  <c r="AP81" i="4" s="1"/>
  <c r="K81" i="4"/>
  <c r="AU81" i="4" s="1"/>
  <c r="L81" i="4"/>
  <c r="AR81" i="4" s="1"/>
  <c r="M81" i="4"/>
  <c r="N81" i="4"/>
  <c r="P81" i="4" s="1"/>
  <c r="C82" i="4"/>
  <c r="D82" i="4"/>
  <c r="E82" i="4"/>
  <c r="AS82" i="4" s="1"/>
  <c r="F82" i="4"/>
  <c r="G82" i="4"/>
  <c r="AT82" i="4" s="1"/>
  <c r="H82" i="4"/>
  <c r="AQ82" i="4" s="1"/>
  <c r="I82" i="4"/>
  <c r="J82" i="4"/>
  <c r="AP82" i="4" s="1"/>
  <c r="K82" i="4"/>
  <c r="AU82" i="4" s="1"/>
  <c r="L82" i="4"/>
  <c r="AR82" i="4" s="1"/>
  <c r="M82" i="4"/>
  <c r="N82" i="4"/>
  <c r="C83" i="4"/>
  <c r="D83" i="4"/>
  <c r="E83" i="4"/>
  <c r="AS83" i="4" s="1"/>
  <c r="F83" i="4"/>
  <c r="G83" i="4"/>
  <c r="AT83" i="4" s="1"/>
  <c r="H83" i="4"/>
  <c r="AQ83" i="4" s="1"/>
  <c r="I83" i="4"/>
  <c r="J83" i="4"/>
  <c r="AP83" i="4" s="1"/>
  <c r="K83" i="4"/>
  <c r="AU83" i="4" s="1"/>
  <c r="L83" i="4"/>
  <c r="AR83" i="4" s="1"/>
  <c r="M83" i="4"/>
  <c r="N83" i="4"/>
  <c r="C84" i="4"/>
  <c r="D84" i="4"/>
  <c r="E84" i="4"/>
  <c r="AS84" i="4" s="1"/>
  <c r="F84" i="4"/>
  <c r="G84" i="4"/>
  <c r="AT84" i="4" s="1"/>
  <c r="H84" i="4"/>
  <c r="AQ84" i="4" s="1"/>
  <c r="I84" i="4"/>
  <c r="J84" i="4"/>
  <c r="AP84" i="4" s="1"/>
  <c r="K84" i="4"/>
  <c r="AU84" i="4" s="1"/>
  <c r="L84" i="4"/>
  <c r="AR84" i="4" s="1"/>
  <c r="M84" i="4"/>
  <c r="N84" i="4"/>
  <c r="C85" i="4"/>
  <c r="D85" i="4"/>
  <c r="E85" i="4"/>
  <c r="AS85" i="4" s="1"/>
  <c r="F85" i="4"/>
  <c r="G85" i="4"/>
  <c r="AT85" i="4" s="1"/>
  <c r="H85" i="4"/>
  <c r="AQ85" i="4" s="1"/>
  <c r="I85" i="4"/>
  <c r="J85" i="4"/>
  <c r="AP85" i="4" s="1"/>
  <c r="K85" i="4"/>
  <c r="AU85" i="4" s="1"/>
  <c r="L85" i="4"/>
  <c r="AR85" i="4" s="1"/>
  <c r="M85" i="4"/>
  <c r="N85" i="4"/>
  <c r="V81" i="4" l="1"/>
  <c r="P85" i="4"/>
  <c r="V85" i="4" s="1"/>
  <c r="AS81" i="4"/>
  <c r="AO85" i="4"/>
  <c r="AO83" i="4"/>
  <c r="AO81" i="4"/>
  <c r="AO84" i="4"/>
  <c r="AO82" i="4"/>
  <c r="P84" i="4"/>
  <c r="V84" i="4" s="1"/>
  <c r="P83" i="4"/>
  <c r="V83" i="4" s="1"/>
  <c r="P82" i="4"/>
  <c r="V82" i="4" s="1"/>
  <c r="W85" i="4"/>
  <c r="W84" i="4"/>
  <c r="W82" i="4"/>
  <c r="W83" i="4"/>
  <c r="W81" i="4"/>
  <c r="D25" i="3" l="1"/>
  <c r="Q57" i="4" l="1"/>
  <c r="R57" i="4"/>
  <c r="S57" i="4"/>
  <c r="T57" i="4"/>
  <c r="U57" i="4"/>
  <c r="Q58" i="4"/>
  <c r="R58" i="4"/>
  <c r="S58" i="4"/>
  <c r="T58" i="4"/>
  <c r="U58" i="4"/>
  <c r="Q59" i="4"/>
  <c r="R59" i="4"/>
  <c r="S59" i="4"/>
  <c r="T59" i="4"/>
  <c r="U59" i="4"/>
  <c r="Q60" i="4"/>
  <c r="R60" i="4"/>
  <c r="S60" i="4"/>
  <c r="T60" i="4"/>
  <c r="U60" i="4"/>
  <c r="Q61" i="4"/>
  <c r="R61" i="4"/>
  <c r="S61" i="4"/>
  <c r="T61" i="4"/>
  <c r="U61" i="4"/>
  <c r="Q62" i="4"/>
  <c r="R62" i="4"/>
  <c r="S62" i="4"/>
  <c r="T62" i="4"/>
  <c r="U62" i="4"/>
  <c r="Q63" i="4"/>
  <c r="R63" i="4"/>
  <c r="S63" i="4"/>
  <c r="T63" i="4"/>
  <c r="U63" i="4"/>
  <c r="Q64" i="4"/>
  <c r="R64" i="4"/>
  <c r="S64" i="4"/>
  <c r="T64" i="4"/>
  <c r="U64" i="4"/>
  <c r="Q65" i="4"/>
  <c r="R65" i="4"/>
  <c r="S65" i="4"/>
  <c r="T65" i="4"/>
  <c r="U65" i="4"/>
  <c r="Q66" i="4"/>
  <c r="R66" i="4"/>
  <c r="S66" i="4"/>
  <c r="T66" i="4"/>
  <c r="U66" i="4"/>
  <c r="Q67" i="4"/>
  <c r="R67" i="4"/>
  <c r="S67" i="4"/>
  <c r="T67" i="4"/>
  <c r="U67" i="4"/>
  <c r="Q68" i="4"/>
  <c r="R68" i="4"/>
  <c r="S68" i="4"/>
  <c r="T68" i="4"/>
  <c r="U68" i="4"/>
  <c r="Q69" i="4"/>
  <c r="R69" i="4"/>
  <c r="S69" i="4"/>
  <c r="T69" i="4"/>
  <c r="U69" i="4"/>
  <c r="Q70" i="4"/>
  <c r="R70" i="4"/>
  <c r="S70" i="4"/>
  <c r="T70" i="4"/>
  <c r="U70" i="4"/>
  <c r="Q71" i="4"/>
  <c r="R71" i="4"/>
  <c r="S71" i="4"/>
  <c r="T71" i="4"/>
  <c r="U71" i="4"/>
  <c r="Q72" i="4"/>
  <c r="R72" i="4"/>
  <c r="S72" i="4"/>
  <c r="T72" i="4"/>
  <c r="U72" i="4"/>
  <c r="Q73" i="4"/>
  <c r="R73" i="4"/>
  <c r="S73" i="4"/>
  <c r="T73" i="4"/>
  <c r="U73" i="4"/>
  <c r="Q74" i="4"/>
  <c r="R74" i="4"/>
  <c r="S74" i="4"/>
  <c r="T74" i="4"/>
  <c r="U74" i="4"/>
  <c r="Q75" i="4"/>
  <c r="R75" i="4"/>
  <c r="S75" i="4"/>
  <c r="T75" i="4"/>
  <c r="U75" i="4"/>
  <c r="Q76" i="4"/>
  <c r="R76" i="4"/>
  <c r="S76" i="4"/>
  <c r="T76" i="4"/>
  <c r="U76" i="4"/>
  <c r="Q77" i="4"/>
  <c r="R77" i="4"/>
  <c r="S77" i="4"/>
  <c r="T77" i="4"/>
  <c r="U77" i="4"/>
  <c r="Q78" i="4"/>
  <c r="R78" i="4"/>
  <c r="S78" i="4"/>
  <c r="T78" i="4"/>
  <c r="U78" i="4"/>
  <c r="Q79" i="4"/>
  <c r="R79" i="4"/>
  <c r="S79" i="4"/>
  <c r="T79" i="4"/>
  <c r="U79" i="4"/>
  <c r="Q80" i="4"/>
  <c r="R80" i="4"/>
  <c r="S80" i="4"/>
  <c r="T80" i="4"/>
  <c r="U80" i="4"/>
  <c r="Q31" i="4"/>
  <c r="R31" i="4"/>
  <c r="S31" i="4"/>
  <c r="T31" i="4"/>
  <c r="U31" i="4"/>
  <c r="Q32" i="4"/>
  <c r="R32" i="4"/>
  <c r="S32" i="4"/>
  <c r="T32" i="4"/>
  <c r="U32" i="4"/>
  <c r="Q33" i="4"/>
  <c r="R33" i="4"/>
  <c r="S33" i="4"/>
  <c r="T33" i="4"/>
  <c r="U33" i="4"/>
  <c r="Q34" i="4"/>
  <c r="R34" i="4"/>
  <c r="S34" i="4"/>
  <c r="T34" i="4"/>
  <c r="U34" i="4"/>
  <c r="Q35" i="4"/>
  <c r="R35" i="4"/>
  <c r="S35" i="4"/>
  <c r="T35" i="4"/>
  <c r="U35" i="4"/>
  <c r="Q36" i="4"/>
  <c r="R36" i="4"/>
  <c r="S36" i="4"/>
  <c r="T36" i="4"/>
  <c r="U36" i="4"/>
  <c r="Q37" i="4"/>
  <c r="R37" i="4"/>
  <c r="S37" i="4"/>
  <c r="T37" i="4"/>
  <c r="U37" i="4"/>
  <c r="Q38" i="4"/>
  <c r="R38" i="4"/>
  <c r="S38" i="4"/>
  <c r="T38" i="4"/>
  <c r="U38" i="4"/>
  <c r="Q39" i="4"/>
  <c r="R39" i="4"/>
  <c r="S39" i="4"/>
  <c r="T39" i="4"/>
  <c r="U39" i="4"/>
  <c r="Q40" i="4"/>
  <c r="R40" i="4"/>
  <c r="S40" i="4"/>
  <c r="T40" i="4"/>
  <c r="U40" i="4"/>
  <c r="Q41" i="4"/>
  <c r="R41" i="4"/>
  <c r="S41" i="4"/>
  <c r="T41" i="4"/>
  <c r="U41" i="4"/>
  <c r="Q42" i="4"/>
  <c r="R42" i="4"/>
  <c r="S42" i="4"/>
  <c r="T42" i="4"/>
  <c r="U42" i="4"/>
  <c r="Q43" i="4"/>
  <c r="R43" i="4"/>
  <c r="S43" i="4"/>
  <c r="T43" i="4"/>
  <c r="U43" i="4"/>
  <c r="Q44" i="4"/>
  <c r="R44" i="4"/>
  <c r="S44" i="4"/>
  <c r="T44" i="4"/>
  <c r="U44" i="4"/>
  <c r="Q45" i="4"/>
  <c r="R45" i="4"/>
  <c r="S45" i="4"/>
  <c r="T45" i="4"/>
  <c r="U45" i="4"/>
  <c r="Q46" i="4"/>
  <c r="R46" i="4"/>
  <c r="S46" i="4"/>
  <c r="T46" i="4"/>
  <c r="U46" i="4"/>
  <c r="Q47" i="4"/>
  <c r="R47" i="4"/>
  <c r="S47" i="4"/>
  <c r="T47" i="4"/>
  <c r="U47" i="4"/>
  <c r="Q48" i="4"/>
  <c r="R48" i="4"/>
  <c r="S48" i="4"/>
  <c r="T48" i="4"/>
  <c r="U48" i="4"/>
  <c r="Q49" i="4"/>
  <c r="R49" i="4"/>
  <c r="S49" i="4"/>
  <c r="T49" i="4"/>
  <c r="U49" i="4"/>
  <c r="Q50" i="4"/>
  <c r="R50" i="4"/>
  <c r="S50" i="4"/>
  <c r="T50" i="4"/>
  <c r="U50" i="4"/>
  <c r="Q51" i="4"/>
  <c r="R51" i="4"/>
  <c r="S51" i="4"/>
  <c r="T51" i="4"/>
  <c r="U51" i="4"/>
  <c r="Q52" i="4"/>
  <c r="R52" i="4"/>
  <c r="S52" i="4"/>
  <c r="T52" i="4"/>
  <c r="U52" i="4"/>
  <c r="Q53" i="4"/>
  <c r="R53" i="4"/>
  <c r="S53" i="4"/>
  <c r="T53" i="4"/>
  <c r="U53" i="4"/>
  <c r="Q54" i="4"/>
  <c r="R54" i="4"/>
  <c r="S54" i="4"/>
  <c r="T54" i="4"/>
  <c r="U54" i="4"/>
  <c r="Q55" i="4"/>
  <c r="R55" i="4"/>
  <c r="S55" i="4"/>
  <c r="T55" i="4"/>
  <c r="U55" i="4"/>
  <c r="Q56" i="4"/>
  <c r="R56" i="4"/>
  <c r="S56" i="4"/>
  <c r="T56" i="4"/>
  <c r="U56" i="4"/>
  <c r="Q6" i="4"/>
  <c r="R6" i="4"/>
  <c r="S6" i="4"/>
  <c r="T6" i="4"/>
  <c r="U6" i="4"/>
  <c r="Q7" i="4"/>
  <c r="R7" i="4"/>
  <c r="S7" i="4"/>
  <c r="T7" i="4"/>
  <c r="U7" i="4"/>
  <c r="Q8" i="4"/>
  <c r="R8" i="4"/>
  <c r="S8" i="4"/>
  <c r="T8" i="4"/>
  <c r="U8" i="4"/>
  <c r="Q9" i="4"/>
  <c r="R9" i="4"/>
  <c r="S9" i="4"/>
  <c r="T9" i="4"/>
  <c r="U9" i="4"/>
  <c r="Q10" i="4"/>
  <c r="R10" i="4"/>
  <c r="S10" i="4"/>
  <c r="T10" i="4"/>
  <c r="U10" i="4"/>
  <c r="Q11" i="4"/>
  <c r="R11" i="4"/>
  <c r="S11" i="4"/>
  <c r="T11" i="4"/>
  <c r="U11" i="4"/>
  <c r="Q12" i="4"/>
  <c r="R12" i="4"/>
  <c r="S12" i="4"/>
  <c r="T12" i="4"/>
  <c r="U12" i="4"/>
  <c r="Q13" i="4"/>
  <c r="R13" i="4"/>
  <c r="S13" i="4"/>
  <c r="T13" i="4"/>
  <c r="U13" i="4"/>
  <c r="Q14" i="4"/>
  <c r="R14" i="4"/>
  <c r="S14" i="4"/>
  <c r="T14" i="4"/>
  <c r="U14" i="4"/>
  <c r="Q15" i="4"/>
  <c r="R15" i="4"/>
  <c r="S15" i="4"/>
  <c r="T15" i="4"/>
  <c r="U15" i="4"/>
  <c r="Q16" i="4"/>
  <c r="R16" i="4"/>
  <c r="S16" i="4"/>
  <c r="T16" i="4"/>
  <c r="U16" i="4"/>
  <c r="Q17" i="4"/>
  <c r="R17" i="4"/>
  <c r="S17" i="4"/>
  <c r="T17" i="4"/>
  <c r="U17" i="4"/>
  <c r="Q18" i="4"/>
  <c r="R18" i="4"/>
  <c r="S18" i="4"/>
  <c r="T18" i="4"/>
  <c r="U18" i="4"/>
  <c r="Q19" i="4"/>
  <c r="R19" i="4"/>
  <c r="S19" i="4"/>
  <c r="T19" i="4"/>
  <c r="U19" i="4"/>
  <c r="Q20" i="4"/>
  <c r="R20" i="4"/>
  <c r="S20" i="4"/>
  <c r="T20" i="4"/>
  <c r="U20" i="4"/>
  <c r="Q21" i="4"/>
  <c r="R21" i="4"/>
  <c r="S21" i="4"/>
  <c r="T21" i="4"/>
  <c r="U21" i="4"/>
  <c r="Q22" i="4"/>
  <c r="R22" i="4"/>
  <c r="S22" i="4"/>
  <c r="T22" i="4"/>
  <c r="U22" i="4"/>
  <c r="Q23" i="4"/>
  <c r="R23" i="4"/>
  <c r="S23" i="4"/>
  <c r="T23" i="4"/>
  <c r="U23" i="4"/>
  <c r="Q24" i="4"/>
  <c r="R24" i="4"/>
  <c r="S24" i="4"/>
  <c r="T24" i="4"/>
  <c r="U24" i="4"/>
  <c r="Q25" i="4"/>
  <c r="R25" i="4"/>
  <c r="S25" i="4"/>
  <c r="T25" i="4"/>
  <c r="U25" i="4"/>
  <c r="Q26" i="4"/>
  <c r="R26" i="4"/>
  <c r="S26" i="4"/>
  <c r="T26" i="4"/>
  <c r="U26" i="4"/>
  <c r="Q27" i="4"/>
  <c r="R27" i="4"/>
  <c r="S27" i="4"/>
  <c r="T27" i="4"/>
  <c r="U27" i="4"/>
  <c r="Q28" i="4"/>
  <c r="R28" i="4"/>
  <c r="S28" i="4"/>
  <c r="T28" i="4"/>
  <c r="U28" i="4"/>
  <c r="Q29" i="4"/>
  <c r="R29" i="4"/>
  <c r="S29" i="4"/>
  <c r="T29" i="4"/>
  <c r="U29" i="4"/>
  <c r="Q30" i="4"/>
  <c r="R30" i="4"/>
  <c r="S30" i="4"/>
  <c r="T30" i="4"/>
  <c r="U30" i="4"/>
  <c r="C74" i="4"/>
  <c r="D74" i="4"/>
  <c r="E74" i="4"/>
  <c r="F74" i="4"/>
  <c r="G74" i="4"/>
  <c r="AT74" i="4" s="1"/>
  <c r="H74" i="4"/>
  <c r="AQ74" i="4" s="1"/>
  <c r="I74" i="4"/>
  <c r="AM74" i="4" s="1"/>
  <c r="J74" i="4"/>
  <c r="AP74" i="4" s="1"/>
  <c r="K74" i="4"/>
  <c r="AU74" i="4" s="1"/>
  <c r="L74" i="4"/>
  <c r="AR74" i="4" s="1"/>
  <c r="M74" i="4"/>
  <c r="AN74" i="4" s="1"/>
  <c r="N74" i="4"/>
  <c r="O74" i="4"/>
  <c r="C75" i="4"/>
  <c r="D75" i="4"/>
  <c r="E75" i="4"/>
  <c r="F75" i="4"/>
  <c r="G75" i="4"/>
  <c r="AT75" i="4" s="1"/>
  <c r="H75" i="4"/>
  <c r="AQ75" i="4" s="1"/>
  <c r="I75" i="4"/>
  <c r="AM75" i="4" s="1"/>
  <c r="J75" i="4"/>
  <c r="AP75" i="4" s="1"/>
  <c r="K75" i="4"/>
  <c r="AU75" i="4" s="1"/>
  <c r="L75" i="4"/>
  <c r="AR75" i="4" s="1"/>
  <c r="M75" i="4"/>
  <c r="AN75" i="4" s="1"/>
  <c r="N75" i="4"/>
  <c r="O75" i="4"/>
  <c r="C76" i="4"/>
  <c r="D76" i="4"/>
  <c r="E76" i="4"/>
  <c r="F76" i="4"/>
  <c r="G76" i="4"/>
  <c r="AT76" i="4" s="1"/>
  <c r="H76" i="4"/>
  <c r="AQ76" i="4" s="1"/>
  <c r="I76" i="4"/>
  <c r="AM76" i="4" s="1"/>
  <c r="J76" i="4"/>
  <c r="AP76" i="4" s="1"/>
  <c r="K76" i="4"/>
  <c r="AU76" i="4" s="1"/>
  <c r="L76" i="4"/>
  <c r="AR76" i="4" s="1"/>
  <c r="M76" i="4"/>
  <c r="AN76" i="4" s="1"/>
  <c r="N76" i="4"/>
  <c r="O76" i="4"/>
  <c r="C77" i="4"/>
  <c r="D77" i="4"/>
  <c r="E77" i="4"/>
  <c r="F77" i="4"/>
  <c r="G77" i="4"/>
  <c r="AT77" i="4" s="1"/>
  <c r="H77" i="4"/>
  <c r="AQ77" i="4" s="1"/>
  <c r="I77" i="4"/>
  <c r="AM77" i="4" s="1"/>
  <c r="J77" i="4"/>
  <c r="AP77" i="4" s="1"/>
  <c r="K77" i="4"/>
  <c r="AU77" i="4" s="1"/>
  <c r="L77" i="4"/>
  <c r="AR77" i="4" s="1"/>
  <c r="M77" i="4"/>
  <c r="AN77" i="4" s="1"/>
  <c r="N77" i="4"/>
  <c r="O77" i="4"/>
  <c r="C78" i="4"/>
  <c r="D78" i="4"/>
  <c r="E78" i="4"/>
  <c r="F78" i="4"/>
  <c r="G78" i="4"/>
  <c r="AT78" i="4" s="1"/>
  <c r="H78" i="4"/>
  <c r="AQ78" i="4" s="1"/>
  <c r="I78" i="4"/>
  <c r="AM78" i="4" s="1"/>
  <c r="J78" i="4"/>
  <c r="AP78" i="4" s="1"/>
  <c r="K78" i="4"/>
  <c r="AU78" i="4" s="1"/>
  <c r="L78" i="4"/>
  <c r="AR78" i="4" s="1"/>
  <c r="M78" i="4"/>
  <c r="AN78" i="4" s="1"/>
  <c r="N78" i="4"/>
  <c r="O78" i="4"/>
  <c r="C79" i="4"/>
  <c r="D79" i="4"/>
  <c r="E79" i="4"/>
  <c r="F79" i="4"/>
  <c r="G79" i="4"/>
  <c r="AT79" i="4" s="1"/>
  <c r="H79" i="4"/>
  <c r="AQ79" i="4" s="1"/>
  <c r="I79" i="4"/>
  <c r="AM79" i="4" s="1"/>
  <c r="J79" i="4"/>
  <c r="AP79" i="4" s="1"/>
  <c r="K79" i="4"/>
  <c r="AU79" i="4" s="1"/>
  <c r="L79" i="4"/>
  <c r="AR79" i="4" s="1"/>
  <c r="M79" i="4"/>
  <c r="AN79" i="4" s="1"/>
  <c r="N79" i="4"/>
  <c r="O79" i="4"/>
  <c r="C80" i="4"/>
  <c r="D80" i="4"/>
  <c r="E80" i="4"/>
  <c r="F80" i="4"/>
  <c r="G80" i="4"/>
  <c r="AT80" i="4" s="1"/>
  <c r="H80" i="4"/>
  <c r="AQ80" i="4" s="1"/>
  <c r="I80" i="4"/>
  <c r="AM80" i="4" s="1"/>
  <c r="J80" i="4"/>
  <c r="AP80" i="4" s="1"/>
  <c r="K80" i="4"/>
  <c r="AU80" i="4" s="1"/>
  <c r="L80" i="4"/>
  <c r="AR80" i="4" s="1"/>
  <c r="M80" i="4"/>
  <c r="AN80" i="4" s="1"/>
  <c r="N80" i="4"/>
  <c r="O80" i="4"/>
  <c r="C53" i="4"/>
  <c r="D53" i="4"/>
  <c r="E53" i="4"/>
  <c r="F53" i="4"/>
  <c r="G53" i="4"/>
  <c r="AT53" i="4" s="1"/>
  <c r="H53" i="4"/>
  <c r="AQ53" i="4" s="1"/>
  <c r="I53" i="4"/>
  <c r="AM53" i="4" s="1"/>
  <c r="J53" i="4"/>
  <c r="AP53" i="4" s="1"/>
  <c r="K53" i="4"/>
  <c r="AU53" i="4" s="1"/>
  <c r="L53" i="4"/>
  <c r="AR53" i="4" s="1"/>
  <c r="M53" i="4"/>
  <c r="AN53" i="4" s="1"/>
  <c r="N53" i="4"/>
  <c r="O53" i="4"/>
  <c r="C54" i="4"/>
  <c r="D54" i="4"/>
  <c r="E54" i="4"/>
  <c r="F54" i="4"/>
  <c r="G54" i="4"/>
  <c r="AT54" i="4" s="1"/>
  <c r="H54" i="4"/>
  <c r="AQ54" i="4" s="1"/>
  <c r="I54" i="4"/>
  <c r="AM54" i="4" s="1"/>
  <c r="J54" i="4"/>
  <c r="AP54" i="4" s="1"/>
  <c r="K54" i="4"/>
  <c r="AU54" i="4" s="1"/>
  <c r="L54" i="4"/>
  <c r="AR54" i="4" s="1"/>
  <c r="M54" i="4"/>
  <c r="AN54" i="4" s="1"/>
  <c r="N54" i="4"/>
  <c r="O54" i="4"/>
  <c r="C55" i="4"/>
  <c r="D55" i="4"/>
  <c r="E55" i="4"/>
  <c r="F55" i="4"/>
  <c r="G55" i="4"/>
  <c r="AT55" i="4" s="1"/>
  <c r="H55" i="4"/>
  <c r="AQ55" i="4" s="1"/>
  <c r="I55" i="4"/>
  <c r="AM55" i="4" s="1"/>
  <c r="J55" i="4"/>
  <c r="AP55" i="4" s="1"/>
  <c r="K55" i="4"/>
  <c r="AU55" i="4" s="1"/>
  <c r="L55" i="4"/>
  <c r="AR55" i="4" s="1"/>
  <c r="M55" i="4"/>
  <c r="AN55" i="4" s="1"/>
  <c r="N55" i="4"/>
  <c r="O55" i="4"/>
  <c r="C56" i="4"/>
  <c r="D56" i="4"/>
  <c r="E56" i="4"/>
  <c r="F56" i="4"/>
  <c r="G56" i="4"/>
  <c r="AT56" i="4" s="1"/>
  <c r="H56" i="4"/>
  <c r="AQ56" i="4" s="1"/>
  <c r="I56" i="4"/>
  <c r="AM56" i="4" s="1"/>
  <c r="J56" i="4"/>
  <c r="AP56" i="4" s="1"/>
  <c r="K56" i="4"/>
  <c r="AU56" i="4" s="1"/>
  <c r="L56" i="4"/>
  <c r="AR56" i="4" s="1"/>
  <c r="M56" i="4"/>
  <c r="AN56" i="4" s="1"/>
  <c r="N56" i="4"/>
  <c r="O56" i="4"/>
  <c r="C57" i="4"/>
  <c r="D57" i="4"/>
  <c r="E57" i="4"/>
  <c r="F57" i="4"/>
  <c r="G57" i="4"/>
  <c r="AT57" i="4" s="1"/>
  <c r="H57" i="4"/>
  <c r="AQ57" i="4" s="1"/>
  <c r="I57" i="4"/>
  <c r="AM57" i="4" s="1"/>
  <c r="J57" i="4"/>
  <c r="AP57" i="4" s="1"/>
  <c r="K57" i="4"/>
  <c r="AU57" i="4" s="1"/>
  <c r="L57" i="4"/>
  <c r="AR57" i="4" s="1"/>
  <c r="M57" i="4"/>
  <c r="AN57" i="4" s="1"/>
  <c r="N57" i="4"/>
  <c r="O57" i="4"/>
  <c r="C58" i="4"/>
  <c r="D58" i="4"/>
  <c r="E58" i="4"/>
  <c r="F58" i="4"/>
  <c r="G58" i="4"/>
  <c r="AT58" i="4" s="1"/>
  <c r="H58" i="4"/>
  <c r="AQ58" i="4" s="1"/>
  <c r="I58" i="4"/>
  <c r="AM58" i="4" s="1"/>
  <c r="J58" i="4"/>
  <c r="AP58" i="4" s="1"/>
  <c r="K58" i="4"/>
  <c r="AU58" i="4" s="1"/>
  <c r="L58" i="4"/>
  <c r="AR58" i="4" s="1"/>
  <c r="M58" i="4"/>
  <c r="AN58" i="4" s="1"/>
  <c r="N58" i="4"/>
  <c r="O58" i="4"/>
  <c r="C59" i="4"/>
  <c r="D59" i="4"/>
  <c r="E59" i="4"/>
  <c r="F59" i="4"/>
  <c r="G59" i="4"/>
  <c r="AT59" i="4" s="1"/>
  <c r="H59" i="4"/>
  <c r="AQ59" i="4" s="1"/>
  <c r="I59" i="4"/>
  <c r="AM59" i="4" s="1"/>
  <c r="J59" i="4"/>
  <c r="AP59" i="4" s="1"/>
  <c r="K59" i="4"/>
  <c r="AU59" i="4" s="1"/>
  <c r="L59" i="4"/>
  <c r="AR59" i="4" s="1"/>
  <c r="M59" i="4"/>
  <c r="AN59" i="4" s="1"/>
  <c r="N59" i="4"/>
  <c r="O59" i="4"/>
  <c r="C60" i="4"/>
  <c r="D60" i="4"/>
  <c r="E60" i="4"/>
  <c r="F60" i="4"/>
  <c r="G60" i="4"/>
  <c r="AT60" i="4" s="1"/>
  <c r="H60" i="4"/>
  <c r="AQ60" i="4" s="1"/>
  <c r="I60" i="4"/>
  <c r="AM60" i="4" s="1"/>
  <c r="J60" i="4"/>
  <c r="AP60" i="4" s="1"/>
  <c r="K60" i="4"/>
  <c r="AU60" i="4" s="1"/>
  <c r="L60" i="4"/>
  <c r="AR60" i="4" s="1"/>
  <c r="M60" i="4"/>
  <c r="AN60" i="4" s="1"/>
  <c r="N60" i="4"/>
  <c r="O60" i="4"/>
  <c r="C61" i="4"/>
  <c r="D61" i="4"/>
  <c r="E61" i="4"/>
  <c r="F61" i="4"/>
  <c r="G61" i="4"/>
  <c r="AT61" i="4" s="1"/>
  <c r="H61" i="4"/>
  <c r="AQ61" i="4" s="1"/>
  <c r="I61" i="4"/>
  <c r="AM61" i="4" s="1"/>
  <c r="J61" i="4"/>
  <c r="AP61" i="4" s="1"/>
  <c r="K61" i="4"/>
  <c r="AU61" i="4" s="1"/>
  <c r="L61" i="4"/>
  <c r="AR61" i="4" s="1"/>
  <c r="M61" i="4"/>
  <c r="AN61" i="4" s="1"/>
  <c r="N61" i="4"/>
  <c r="O61" i="4"/>
  <c r="C62" i="4"/>
  <c r="D62" i="4"/>
  <c r="E62" i="4"/>
  <c r="F62" i="4"/>
  <c r="G62" i="4"/>
  <c r="AT62" i="4" s="1"/>
  <c r="H62" i="4"/>
  <c r="AQ62" i="4" s="1"/>
  <c r="I62" i="4"/>
  <c r="AM62" i="4" s="1"/>
  <c r="J62" i="4"/>
  <c r="AP62" i="4" s="1"/>
  <c r="K62" i="4"/>
  <c r="AU62" i="4" s="1"/>
  <c r="L62" i="4"/>
  <c r="AR62" i="4" s="1"/>
  <c r="M62" i="4"/>
  <c r="AN62" i="4" s="1"/>
  <c r="N62" i="4"/>
  <c r="O62" i="4"/>
  <c r="C63" i="4"/>
  <c r="D63" i="4"/>
  <c r="E63" i="4"/>
  <c r="F63" i="4"/>
  <c r="G63" i="4"/>
  <c r="AT63" i="4" s="1"/>
  <c r="H63" i="4"/>
  <c r="AQ63" i="4" s="1"/>
  <c r="I63" i="4"/>
  <c r="AM63" i="4" s="1"/>
  <c r="J63" i="4"/>
  <c r="AP63" i="4" s="1"/>
  <c r="K63" i="4"/>
  <c r="AU63" i="4" s="1"/>
  <c r="L63" i="4"/>
  <c r="AR63" i="4" s="1"/>
  <c r="M63" i="4"/>
  <c r="AN63" i="4" s="1"/>
  <c r="N63" i="4"/>
  <c r="O63" i="4"/>
  <c r="C64" i="4"/>
  <c r="D64" i="4"/>
  <c r="E64" i="4"/>
  <c r="F64" i="4"/>
  <c r="G64" i="4"/>
  <c r="AT64" i="4" s="1"/>
  <c r="H64" i="4"/>
  <c r="AQ64" i="4" s="1"/>
  <c r="I64" i="4"/>
  <c r="AM64" i="4" s="1"/>
  <c r="J64" i="4"/>
  <c r="AP64" i="4" s="1"/>
  <c r="K64" i="4"/>
  <c r="AU64" i="4" s="1"/>
  <c r="L64" i="4"/>
  <c r="AR64" i="4" s="1"/>
  <c r="M64" i="4"/>
  <c r="AN64" i="4" s="1"/>
  <c r="N64" i="4"/>
  <c r="O64" i="4"/>
  <c r="C65" i="4"/>
  <c r="D65" i="4"/>
  <c r="E65" i="4"/>
  <c r="F65" i="4"/>
  <c r="G65" i="4"/>
  <c r="AT65" i="4" s="1"/>
  <c r="H65" i="4"/>
  <c r="AQ65" i="4" s="1"/>
  <c r="I65" i="4"/>
  <c r="AM65" i="4" s="1"/>
  <c r="J65" i="4"/>
  <c r="AP65" i="4" s="1"/>
  <c r="K65" i="4"/>
  <c r="AU65" i="4" s="1"/>
  <c r="L65" i="4"/>
  <c r="AR65" i="4" s="1"/>
  <c r="M65" i="4"/>
  <c r="AN65" i="4" s="1"/>
  <c r="N65" i="4"/>
  <c r="O65" i="4"/>
  <c r="C66" i="4"/>
  <c r="D66" i="4"/>
  <c r="E66" i="4"/>
  <c r="F66" i="4"/>
  <c r="G66" i="4"/>
  <c r="AT66" i="4" s="1"/>
  <c r="H66" i="4"/>
  <c r="AQ66" i="4" s="1"/>
  <c r="I66" i="4"/>
  <c r="AM66" i="4" s="1"/>
  <c r="J66" i="4"/>
  <c r="AP66" i="4" s="1"/>
  <c r="K66" i="4"/>
  <c r="AU66" i="4" s="1"/>
  <c r="L66" i="4"/>
  <c r="AR66" i="4" s="1"/>
  <c r="M66" i="4"/>
  <c r="AN66" i="4" s="1"/>
  <c r="N66" i="4"/>
  <c r="O66" i="4"/>
  <c r="C67" i="4"/>
  <c r="D67" i="4"/>
  <c r="E67" i="4"/>
  <c r="F67" i="4"/>
  <c r="G67" i="4"/>
  <c r="AT67" i="4" s="1"/>
  <c r="H67" i="4"/>
  <c r="AQ67" i="4" s="1"/>
  <c r="I67" i="4"/>
  <c r="AM67" i="4" s="1"/>
  <c r="J67" i="4"/>
  <c r="AP67" i="4" s="1"/>
  <c r="K67" i="4"/>
  <c r="AU67" i="4" s="1"/>
  <c r="L67" i="4"/>
  <c r="AR67" i="4" s="1"/>
  <c r="M67" i="4"/>
  <c r="AN67" i="4" s="1"/>
  <c r="N67" i="4"/>
  <c r="O67" i="4"/>
  <c r="C68" i="4"/>
  <c r="D68" i="4"/>
  <c r="E68" i="4"/>
  <c r="F68" i="4"/>
  <c r="G68" i="4"/>
  <c r="AT68" i="4" s="1"/>
  <c r="H68" i="4"/>
  <c r="AQ68" i="4" s="1"/>
  <c r="I68" i="4"/>
  <c r="AM68" i="4" s="1"/>
  <c r="J68" i="4"/>
  <c r="AP68" i="4" s="1"/>
  <c r="K68" i="4"/>
  <c r="AU68" i="4" s="1"/>
  <c r="L68" i="4"/>
  <c r="AR68" i="4" s="1"/>
  <c r="M68" i="4"/>
  <c r="AN68" i="4" s="1"/>
  <c r="N68" i="4"/>
  <c r="O68" i="4"/>
  <c r="C69" i="4"/>
  <c r="D69" i="4"/>
  <c r="E69" i="4"/>
  <c r="F69" i="4"/>
  <c r="G69" i="4"/>
  <c r="AT69" i="4" s="1"/>
  <c r="H69" i="4"/>
  <c r="AQ69" i="4" s="1"/>
  <c r="I69" i="4"/>
  <c r="AM69" i="4" s="1"/>
  <c r="J69" i="4"/>
  <c r="AP69" i="4" s="1"/>
  <c r="K69" i="4"/>
  <c r="AU69" i="4" s="1"/>
  <c r="L69" i="4"/>
  <c r="AR69" i="4" s="1"/>
  <c r="M69" i="4"/>
  <c r="AN69" i="4" s="1"/>
  <c r="N69" i="4"/>
  <c r="O69" i="4"/>
  <c r="C70" i="4"/>
  <c r="D70" i="4"/>
  <c r="E70" i="4"/>
  <c r="F70" i="4"/>
  <c r="G70" i="4"/>
  <c r="AT70" i="4" s="1"/>
  <c r="H70" i="4"/>
  <c r="AQ70" i="4" s="1"/>
  <c r="I70" i="4"/>
  <c r="AM70" i="4" s="1"/>
  <c r="J70" i="4"/>
  <c r="AP70" i="4" s="1"/>
  <c r="K70" i="4"/>
  <c r="AU70" i="4" s="1"/>
  <c r="L70" i="4"/>
  <c r="AR70" i="4" s="1"/>
  <c r="M70" i="4"/>
  <c r="AN70" i="4" s="1"/>
  <c r="N70" i="4"/>
  <c r="O70" i="4"/>
  <c r="C71" i="4"/>
  <c r="D71" i="4"/>
  <c r="E71" i="4"/>
  <c r="F71" i="4"/>
  <c r="G71" i="4"/>
  <c r="AT71" i="4" s="1"/>
  <c r="H71" i="4"/>
  <c r="AQ71" i="4" s="1"/>
  <c r="I71" i="4"/>
  <c r="AM71" i="4" s="1"/>
  <c r="J71" i="4"/>
  <c r="AP71" i="4" s="1"/>
  <c r="K71" i="4"/>
  <c r="AU71" i="4" s="1"/>
  <c r="L71" i="4"/>
  <c r="AR71" i="4" s="1"/>
  <c r="M71" i="4"/>
  <c r="AN71" i="4" s="1"/>
  <c r="N71" i="4"/>
  <c r="O71" i="4"/>
  <c r="C72" i="4"/>
  <c r="D72" i="4"/>
  <c r="E72" i="4"/>
  <c r="F72" i="4"/>
  <c r="G72" i="4"/>
  <c r="AT72" i="4" s="1"/>
  <c r="H72" i="4"/>
  <c r="AQ72" i="4" s="1"/>
  <c r="I72" i="4"/>
  <c r="AM72" i="4" s="1"/>
  <c r="J72" i="4"/>
  <c r="AP72" i="4" s="1"/>
  <c r="K72" i="4"/>
  <c r="AU72" i="4" s="1"/>
  <c r="L72" i="4"/>
  <c r="AR72" i="4" s="1"/>
  <c r="M72" i="4"/>
  <c r="AN72" i="4" s="1"/>
  <c r="N72" i="4"/>
  <c r="O72" i="4"/>
  <c r="C73" i="4"/>
  <c r="D73" i="4"/>
  <c r="E73" i="4"/>
  <c r="F73" i="4"/>
  <c r="G73" i="4"/>
  <c r="AT73" i="4" s="1"/>
  <c r="H73" i="4"/>
  <c r="AQ73" i="4" s="1"/>
  <c r="I73" i="4"/>
  <c r="AM73" i="4" s="1"/>
  <c r="J73" i="4"/>
  <c r="AP73" i="4" s="1"/>
  <c r="K73" i="4"/>
  <c r="AU73" i="4" s="1"/>
  <c r="L73" i="4"/>
  <c r="AR73" i="4" s="1"/>
  <c r="M73" i="4"/>
  <c r="AN73" i="4" s="1"/>
  <c r="N73" i="4"/>
  <c r="O73" i="4"/>
  <c r="C30" i="4"/>
  <c r="D30" i="4"/>
  <c r="E30" i="4"/>
  <c r="F30" i="4"/>
  <c r="G30" i="4"/>
  <c r="AT30" i="4" s="1"/>
  <c r="H30" i="4"/>
  <c r="AQ30" i="4" s="1"/>
  <c r="I30" i="4"/>
  <c r="AM30" i="4" s="1"/>
  <c r="J30" i="4"/>
  <c r="AP30" i="4" s="1"/>
  <c r="K30" i="4"/>
  <c r="AU30" i="4" s="1"/>
  <c r="L30" i="4"/>
  <c r="AR30" i="4" s="1"/>
  <c r="M30" i="4"/>
  <c r="AN30" i="4" s="1"/>
  <c r="N30" i="4"/>
  <c r="O30" i="4"/>
  <c r="C31" i="4"/>
  <c r="D31" i="4"/>
  <c r="E31" i="4"/>
  <c r="F31" i="4"/>
  <c r="G31" i="4"/>
  <c r="AT31" i="4" s="1"/>
  <c r="H31" i="4"/>
  <c r="AQ31" i="4" s="1"/>
  <c r="I31" i="4"/>
  <c r="AM31" i="4" s="1"/>
  <c r="J31" i="4"/>
  <c r="AP31" i="4" s="1"/>
  <c r="K31" i="4"/>
  <c r="AU31" i="4" s="1"/>
  <c r="L31" i="4"/>
  <c r="AR31" i="4" s="1"/>
  <c r="M31" i="4"/>
  <c r="AN31" i="4" s="1"/>
  <c r="N31" i="4"/>
  <c r="O31" i="4"/>
  <c r="C32" i="4"/>
  <c r="D32" i="4"/>
  <c r="E32" i="4"/>
  <c r="F32" i="4"/>
  <c r="G32" i="4"/>
  <c r="AT32" i="4" s="1"/>
  <c r="H32" i="4"/>
  <c r="AQ32" i="4" s="1"/>
  <c r="I32" i="4"/>
  <c r="AM32" i="4" s="1"/>
  <c r="J32" i="4"/>
  <c r="AP32" i="4" s="1"/>
  <c r="K32" i="4"/>
  <c r="AU32" i="4" s="1"/>
  <c r="L32" i="4"/>
  <c r="AR32" i="4" s="1"/>
  <c r="M32" i="4"/>
  <c r="AN32" i="4" s="1"/>
  <c r="N32" i="4"/>
  <c r="O32" i="4"/>
  <c r="C33" i="4"/>
  <c r="D33" i="4"/>
  <c r="E33" i="4"/>
  <c r="F33" i="4"/>
  <c r="G33" i="4"/>
  <c r="AT33" i="4" s="1"/>
  <c r="H33" i="4"/>
  <c r="AQ33" i="4" s="1"/>
  <c r="I33" i="4"/>
  <c r="AM33" i="4" s="1"/>
  <c r="J33" i="4"/>
  <c r="AP33" i="4" s="1"/>
  <c r="K33" i="4"/>
  <c r="AU33" i="4" s="1"/>
  <c r="L33" i="4"/>
  <c r="AR33" i="4" s="1"/>
  <c r="M33" i="4"/>
  <c r="AN33" i="4" s="1"/>
  <c r="N33" i="4"/>
  <c r="O33" i="4"/>
  <c r="C34" i="4"/>
  <c r="D34" i="4"/>
  <c r="E34" i="4"/>
  <c r="F34" i="4"/>
  <c r="G34" i="4"/>
  <c r="AT34" i="4" s="1"/>
  <c r="H34" i="4"/>
  <c r="AQ34" i="4" s="1"/>
  <c r="I34" i="4"/>
  <c r="AM34" i="4" s="1"/>
  <c r="J34" i="4"/>
  <c r="AP34" i="4" s="1"/>
  <c r="K34" i="4"/>
  <c r="AU34" i="4" s="1"/>
  <c r="L34" i="4"/>
  <c r="AR34" i="4" s="1"/>
  <c r="M34" i="4"/>
  <c r="AN34" i="4" s="1"/>
  <c r="N34" i="4"/>
  <c r="O34" i="4"/>
  <c r="C35" i="4"/>
  <c r="D35" i="4"/>
  <c r="E35" i="4"/>
  <c r="F35" i="4"/>
  <c r="G35" i="4"/>
  <c r="AT35" i="4" s="1"/>
  <c r="H35" i="4"/>
  <c r="AQ35" i="4" s="1"/>
  <c r="I35" i="4"/>
  <c r="AM35" i="4" s="1"/>
  <c r="J35" i="4"/>
  <c r="AP35" i="4" s="1"/>
  <c r="K35" i="4"/>
  <c r="AU35" i="4" s="1"/>
  <c r="L35" i="4"/>
  <c r="AR35" i="4" s="1"/>
  <c r="M35" i="4"/>
  <c r="AN35" i="4" s="1"/>
  <c r="N35" i="4"/>
  <c r="O35" i="4"/>
  <c r="C36" i="4"/>
  <c r="D36" i="4"/>
  <c r="E36" i="4"/>
  <c r="F36" i="4"/>
  <c r="G36" i="4"/>
  <c r="AT36" i="4" s="1"/>
  <c r="H36" i="4"/>
  <c r="AQ36" i="4" s="1"/>
  <c r="I36" i="4"/>
  <c r="AM36" i="4" s="1"/>
  <c r="J36" i="4"/>
  <c r="AP36" i="4" s="1"/>
  <c r="K36" i="4"/>
  <c r="AU36" i="4" s="1"/>
  <c r="L36" i="4"/>
  <c r="AR36" i="4" s="1"/>
  <c r="M36" i="4"/>
  <c r="AN36" i="4" s="1"/>
  <c r="N36" i="4"/>
  <c r="O36" i="4"/>
  <c r="C37" i="4"/>
  <c r="D37" i="4"/>
  <c r="E37" i="4"/>
  <c r="F37" i="4"/>
  <c r="G37" i="4"/>
  <c r="AT37" i="4" s="1"/>
  <c r="H37" i="4"/>
  <c r="AQ37" i="4" s="1"/>
  <c r="I37" i="4"/>
  <c r="AM37" i="4" s="1"/>
  <c r="J37" i="4"/>
  <c r="AP37" i="4" s="1"/>
  <c r="K37" i="4"/>
  <c r="AU37" i="4" s="1"/>
  <c r="L37" i="4"/>
  <c r="AR37" i="4" s="1"/>
  <c r="M37" i="4"/>
  <c r="AN37" i="4" s="1"/>
  <c r="N37" i="4"/>
  <c r="O37" i="4"/>
  <c r="C38" i="4"/>
  <c r="D38" i="4"/>
  <c r="E38" i="4"/>
  <c r="F38" i="4"/>
  <c r="G38" i="4"/>
  <c r="AT38" i="4" s="1"/>
  <c r="H38" i="4"/>
  <c r="AQ38" i="4" s="1"/>
  <c r="I38" i="4"/>
  <c r="AM38" i="4" s="1"/>
  <c r="J38" i="4"/>
  <c r="AP38" i="4" s="1"/>
  <c r="K38" i="4"/>
  <c r="AU38" i="4" s="1"/>
  <c r="L38" i="4"/>
  <c r="AR38" i="4" s="1"/>
  <c r="M38" i="4"/>
  <c r="AN38" i="4" s="1"/>
  <c r="N38" i="4"/>
  <c r="O38" i="4"/>
  <c r="C39" i="4"/>
  <c r="D39" i="4"/>
  <c r="E39" i="4"/>
  <c r="F39" i="4"/>
  <c r="G39" i="4"/>
  <c r="AT39" i="4" s="1"/>
  <c r="H39" i="4"/>
  <c r="AQ39" i="4" s="1"/>
  <c r="I39" i="4"/>
  <c r="AM39" i="4" s="1"/>
  <c r="J39" i="4"/>
  <c r="AP39" i="4" s="1"/>
  <c r="K39" i="4"/>
  <c r="AU39" i="4" s="1"/>
  <c r="L39" i="4"/>
  <c r="AR39" i="4" s="1"/>
  <c r="M39" i="4"/>
  <c r="AN39" i="4" s="1"/>
  <c r="N39" i="4"/>
  <c r="O39" i="4"/>
  <c r="C40" i="4"/>
  <c r="D40" i="4"/>
  <c r="E40" i="4"/>
  <c r="F40" i="4"/>
  <c r="G40" i="4"/>
  <c r="AT40" i="4" s="1"/>
  <c r="H40" i="4"/>
  <c r="AQ40" i="4" s="1"/>
  <c r="I40" i="4"/>
  <c r="AM40" i="4" s="1"/>
  <c r="J40" i="4"/>
  <c r="AP40" i="4" s="1"/>
  <c r="K40" i="4"/>
  <c r="AU40" i="4" s="1"/>
  <c r="L40" i="4"/>
  <c r="AR40" i="4" s="1"/>
  <c r="M40" i="4"/>
  <c r="AN40" i="4" s="1"/>
  <c r="N40" i="4"/>
  <c r="O40" i="4"/>
  <c r="C41" i="4"/>
  <c r="D41" i="4"/>
  <c r="E41" i="4"/>
  <c r="F41" i="4"/>
  <c r="G41" i="4"/>
  <c r="AT41" i="4" s="1"/>
  <c r="H41" i="4"/>
  <c r="AQ41" i="4" s="1"/>
  <c r="I41" i="4"/>
  <c r="AM41" i="4" s="1"/>
  <c r="J41" i="4"/>
  <c r="AP41" i="4" s="1"/>
  <c r="K41" i="4"/>
  <c r="AU41" i="4" s="1"/>
  <c r="L41" i="4"/>
  <c r="AR41" i="4" s="1"/>
  <c r="M41" i="4"/>
  <c r="AN41" i="4" s="1"/>
  <c r="N41" i="4"/>
  <c r="O41" i="4"/>
  <c r="C42" i="4"/>
  <c r="D42" i="4"/>
  <c r="E42" i="4"/>
  <c r="F42" i="4"/>
  <c r="G42" i="4"/>
  <c r="AT42" i="4" s="1"/>
  <c r="H42" i="4"/>
  <c r="AQ42" i="4" s="1"/>
  <c r="I42" i="4"/>
  <c r="AM42" i="4" s="1"/>
  <c r="J42" i="4"/>
  <c r="AP42" i="4" s="1"/>
  <c r="K42" i="4"/>
  <c r="AU42" i="4" s="1"/>
  <c r="L42" i="4"/>
  <c r="AR42" i="4" s="1"/>
  <c r="M42" i="4"/>
  <c r="AN42" i="4" s="1"/>
  <c r="N42" i="4"/>
  <c r="O42" i="4"/>
  <c r="C43" i="4"/>
  <c r="D43" i="4"/>
  <c r="E43" i="4"/>
  <c r="F43" i="4"/>
  <c r="G43" i="4"/>
  <c r="AT43" i="4" s="1"/>
  <c r="H43" i="4"/>
  <c r="AQ43" i="4" s="1"/>
  <c r="I43" i="4"/>
  <c r="AM43" i="4" s="1"/>
  <c r="J43" i="4"/>
  <c r="AP43" i="4" s="1"/>
  <c r="K43" i="4"/>
  <c r="AU43" i="4" s="1"/>
  <c r="L43" i="4"/>
  <c r="AR43" i="4" s="1"/>
  <c r="M43" i="4"/>
  <c r="AN43" i="4" s="1"/>
  <c r="N43" i="4"/>
  <c r="O43" i="4"/>
  <c r="C44" i="4"/>
  <c r="D44" i="4"/>
  <c r="E44" i="4"/>
  <c r="F44" i="4"/>
  <c r="G44" i="4"/>
  <c r="AT44" i="4" s="1"/>
  <c r="H44" i="4"/>
  <c r="AQ44" i="4" s="1"/>
  <c r="I44" i="4"/>
  <c r="AM44" i="4" s="1"/>
  <c r="J44" i="4"/>
  <c r="AP44" i="4" s="1"/>
  <c r="K44" i="4"/>
  <c r="AU44" i="4" s="1"/>
  <c r="L44" i="4"/>
  <c r="AR44" i="4" s="1"/>
  <c r="M44" i="4"/>
  <c r="AN44" i="4" s="1"/>
  <c r="N44" i="4"/>
  <c r="O44" i="4"/>
  <c r="C45" i="4"/>
  <c r="D45" i="4"/>
  <c r="E45" i="4"/>
  <c r="F45" i="4"/>
  <c r="G45" i="4"/>
  <c r="AT45" i="4" s="1"/>
  <c r="H45" i="4"/>
  <c r="AQ45" i="4" s="1"/>
  <c r="I45" i="4"/>
  <c r="AM45" i="4" s="1"/>
  <c r="J45" i="4"/>
  <c r="AP45" i="4" s="1"/>
  <c r="K45" i="4"/>
  <c r="AU45" i="4" s="1"/>
  <c r="L45" i="4"/>
  <c r="AR45" i="4" s="1"/>
  <c r="M45" i="4"/>
  <c r="AN45" i="4" s="1"/>
  <c r="N45" i="4"/>
  <c r="O45" i="4"/>
  <c r="C46" i="4"/>
  <c r="D46" i="4"/>
  <c r="E46" i="4"/>
  <c r="F46" i="4"/>
  <c r="G46" i="4"/>
  <c r="AT46" i="4" s="1"/>
  <c r="H46" i="4"/>
  <c r="AQ46" i="4" s="1"/>
  <c r="I46" i="4"/>
  <c r="AM46" i="4" s="1"/>
  <c r="J46" i="4"/>
  <c r="AP46" i="4" s="1"/>
  <c r="K46" i="4"/>
  <c r="AU46" i="4" s="1"/>
  <c r="L46" i="4"/>
  <c r="AR46" i="4" s="1"/>
  <c r="M46" i="4"/>
  <c r="AN46" i="4" s="1"/>
  <c r="N46" i="4"/>
  <c r="O46" i="4"/>
  <c r="C47" i="4"/>
  <c r="D47" i="4"/>
  <c r="E47" i="4"/>
  <c r="F47" i="4"/>
  <c r="G47" i="4"/>
  <c r="AT47" i="4" s="1"/>
  <c r="H47" i="4"/>
  <c r="AQ47" i="4" s="1"/>
  <c r="I47" i="4"/>
  <c r="AM47" i="4" s="1"/>
  <c r="J47" i="4"/>
  <c r="AP47" i="4" s="1"/>
  <c r="K47" i="4"/>
  <c r="AU47" i="4" s="1"/>
  <c r="L47" i="4"/>
  <c r="AR47" i="4" s="1"/>
  <c r="M47" i="4"/>
  <c r="AN47" i="4" s="1"/>
  <c r="N47" i="4"/>
  <c r="O47" i="4"/>
  <c r="C48" i="4"/>
  <c r="D48" i="4"/>
  <c r="E48" i="4"/>
  <c r="F48" i="4"/>
  <c r="G48" i="4"/>
  <c r="AT48" i="4" s="1"/>
  <c r="H48" i="4"/>
  <c r="AQ48" i="4" s="1"/>
  <c r="I48" i="4"/>
  <c r="AM48" i="4" s="1"/>
  <c r="J48" i="4"/>
  <c r="AP48" i="4" s="1"/>
  <c r="K48" i="4"/>
  <c r="AU48" i="4" s="1"/>
  <c r="L48" i="4"/>
  <c r="AR48" i="4" s="1"/>
  <c r="M48" i="4"/>
  <c r="AN48" i="4" s="1"/>
  <c r="N48" i="4"/>
  <c r="O48" i="4"/>
  <c r="C49" i="4"/>
  <c r="D49" i="4"/>
  <c r="E49" i="4"/>
  <c r="F49" i="4"/>
  <c r="G49" i="4"/>
  <c r="AT49" i="4" s="1"/>
  <c r="H49" i="4"/>
  <c r="AQ49" i="4" s="1"/>
  <c r="I49" i="4"/>
  <c r="AM49" i="4" s="1"/>
  <c r="J49" i="4"/>
  <c r="AP49" i="4" s="1"/>
  <c r="K49" i="4"/>
  <c r="AU49" i="4" s="1"/>
  <c r="L49" i="4"/>
  <c r="AR49" i="4" s="1"/>
  <c r="M49" i="4"/>
  <c r="AN49" i="4" s="1"/>
  <c r="N49" i="4"/>
  <c r="O49" i="4"/>
  <c r="C50" i="4"/>
  <c r="D50" i="4"/>
  <c r="E50" i="4"/>
  <c r="F50" i="4"/>
  <c r="G50" i="4"/>
  <c r="AT50" i="4" s="1"/>
  <c r="H50" i="4"/>
  <c r="AQ50" i="4" s="1"/>
  <c r="I50" i="4"/>
  <c r="AM50" i="4" s="1"/>
  <c r="J50" i="4"/>
  <c r="AP50" i="4" s="1"/>
  <c r="K50" i="4"/>
  <c r="AU50" i="4" s="1"/>
  <c r="L50" i="4"/>
  <c r="AR50" i="4" s="1"/>
  <c r="M50" i="4"/>
  <c r="AN50" i="4" s="1"/>
  <c r="N50" i="4"/>
  <c r="O50" i="4"/>
  <c r="C51" i="4"/>
  <c r="D51" i="4"/>
  <c r="E51" i="4"/>
  <c r="F51" i="4"/>
  <c r="G51" i="4"/>
  <c r="AT51" i="4" s="1"/>
  <c r="H51" i="4"/>
  <c r="AQ51" i="4" s="1"/>
  <c r="I51" i="4"/>
  <c r="AM51" i="4" s="1"/>
  <c r="J51" i="4"/>
  <c r="AP51" i="4" s="1"/>
  <c r="K51" i="4"/>
  <c r="AU51" i="4" s="1"/>
  <c r="L51" i="4"/>
  <c r="AR51" i="4" s="1"/>
  <c r="M51" i="4"/>
  <c r="AN51" i="4" s="1"/>
  <c r="N51" i="4"/>
  <c r="O51" i="4"/>
  <c r="C52" i="4"/>
  <c r="D52" i="4"/>
  <c r="E52" i="4"/>
  <c r="F52" i="4"/>
  <c r="G52" i="4"/>
  <c r="AT52" i="4" s="1"/>
  <c r="H52" i="4"/>
  <c r="AQ52" i="4" s="1"/>
  <c r="I52" i="4"/>
  <c r="AM52" i="4" s="1"/>
  <c r="J52" i="4"/>
  <c r="AP52" i="4" s="1"/>
  <c r="K52" i="4"/>
  <c r="AU52" i="4" s="1"/>
  <c r="L52" i="4"/>
  <c r="AR52" i="4" s="1"/>
  <c r="M52" i="4"/>
  <c r="AN52" i="4" s="1"/>
  <c r="N52" i="4"/>
  <c r="O52" i="4"/>
  <c r="D5" i="4"/>
  <c r="F5" i="4"/>
  <c r="K5" i="4"/>
  <c r="AU5" i="4" s="1"/>
  <c r="L5" i="4"/>
  <c r="AR5" i="4" s="1"/>
  <c r="C6" i="4"/>
  <c r="D6" i="4"/>
  <c r="E6" i="4"/>
  <c r="AS6" i="4" s="1"/>
  <c r="F6" i="4"/>
  <c r="AO6" i="4" s="1"/>
  <c r="G6" i="4"/>
  <c r="AT6" i="4" s="1"/>
  <c r="H6" i="4"/>
  <c r="AQ6" i="4" s="1"/>
  <c r="I6" i="4"/>
  <c r="AM6" i="4" s="1"/>
  <c r="J6" i="4"/>
  <c r="AP6" i="4" s="1"/>
  <c r="K6" i="4"/>
  <c r="AU6" i="4" s="1"/>
  <c r="L6" i="4"/>
  <c r="AR6" i="4" s="1"/>
  <c r="M6" i="4"/>
  <c r="AN6" i="4" s="1"/>
  <c r="N6" i="4"/>
  <c r="O6" i="4"/>
  <c r="C7" i="4"/>
  <c r="D7" i="4"/>
  <c r="E7" i="4"/>
  <c r="AS7" i="4" s="1"/>
  <c r="F7" i="4"/>
  <c r="AO7" i="4" s="1"/>
  <c r="G7" i="4"/>
  <c r="AT7" i="4" s="1"/>
  <c r="H7" i="4"/>
  <c r="AQ7" i="4" s="1"/>
  <c r="I7" i="4"/>
  <c r="AM7" i="4" s="1"/>
  <c r="J7" i="4"/>
  <c r="AP7" i="4" s="1"/>
  <c r="K7" i="4"/>
  <c r="AU7" i="4" s="1"/>
  <c r="L7" i="4"/>
  <c r="AR7" i="4" s="1"/>
  <c r="M7" i="4"/>
  <c r="AN7" i="4" s="1"/>
  <c r="N7" i="4"/>
  <c r="O7" i="4"/>
  <c r="C8" i="4"/>
  <c r="D8" i="4"/>
  <c r="E8" i="4"/>
  <c r="AS8" i="4" s="1"/>
  <c r="F8" i="4"/>
  <c r="AO8" i="4" s="1"/>
  <c r="G8" i="4"/>
  <c r="AT8" i="4" s="1"/>
  <c r="H8" i="4"/>
  <c r="AQ8" i="4" s="1"/>
  <c r="I8" i="4"/>
  <c r="AM8" i="4" s="1"/>
  <c r="J8" i="4"/>
  <c r="AP8" i="4" s="1"/>
  <c r="K8" i="4"/>
  <c r="AU8" i="4" s="1"/>
  <c r="L8" i="4"/>
  <c r="AR8" i="4" s="1"/>
  <c r="M8" i="4"/>
  <c r="AN8" i="4" s="1"/>
  <c r="N8" i="4"/>
  <c r="O8" i="4"/>
  <c r="C9" i="4"/>
  <c r="D9" i="4"/>
  <c r="E9" i="4"/>
  <c r="AS9" i="4" s="1"/>
  <c r="F9" i="4"/>
  <c r="AO9" i="4" s="1"/>
  <c r="G9" i="4"/>
  <c r="AT9" i="4" s="1"/>
  <c r="H9" i="4"/>
  <c r="AQ9" i="4" s="1"/>
  <c r="I9" i="4"/>
  <c r="AM9" i="4" s="1"/>
  <c r="J9" i="4"/>
  <c r="AP9" i="4" s="1"/>
  <c r="K9" i="4"/>
  <c r="AU9" i="4" s="1"/>
  <c r="L9" i="4"/>
  <c r="AR9" i="4" s="1"/>
  <c r="M9" i="4"/>
  <c r="AN9" i="4" s="1"/>
  <c r="N9" i="4"/>
  <c r="O9" i="4"/>
  <c r="C10" i="4"/>
  <c r="D10" i="4"/>
  <c r="E10" i="4"/>
  <c r="AS10" i="4" s="1"/>
  <c r="F10" i="4"/>
  <c r="AO10" i="4" s="1"/>
  <c r="G10" i="4"/>
  <c r="AT10" i="4" s="1"/>
  <c r="H10" i="4"/>
  <c r="AQ10" i="4" s="1"/>
  <c r="I10" i="4"/>
  <c r="AM10" i="4" s="1"/>
  <c r="J10" i="4"/>
  <c r="AP10" i="4" s="1"/>
  <c r="K10" i="4"/>
  <c r="AU10" i="4" s="1"/>
  <c r="L10" i="4"/>
  <c r="AR10" i="4" s="1"/>
  <c r="M10" i="4"/>
  <c r="AN10" i="4" s="1"/>
  <c r="N10" i="4"/>
  <c r="O10" i="4"/>
  <c r="C11" i="4"/>
  <c r="D11" i="4"/>
  <c r="E11" i="4"/>
  <c r="AS11" i="4" s="1"/>
  <c r="F11" i="4"/>
  <c r="AO11" i="4" s="1"/>
  <c r="G11" i="4"/>
  <c r="AT11" i="4" s="1"/>
  <c r="H11" i="4"/>
  <c r="AQ11" i="4" s="1"/>
  <c r="I11" i="4"/>
  <c r="AM11" i="4" s="1"/>
  <c r="J11" i="4"/>
  <c r="AP11" i="4" s="1"/>
  <c r="K11" i="4"/>
  <c r="AU11" i="4" s="1"/>
  <c r="L11" i="4"/>
  <c r="AR11" i="4" s="1"/>
  <c r="M11" i="4"/>
  <c r="AN11" i="4" s="1"/>
  <c r="N11" i="4"/>
  <c r="O11" i="4"/>
  <c r="C12" i="4"/>
  <c r="D12" i="4"/>
  <c r="E12" i="4"/>
  <c r="AS12" i="4" s="1"/>
  <c r="F12" i="4"/>
  <c r="AO12" i="4" s="1"/>
  <c r="G12" i="4"/>
  <c r="AT12" i="4" s="1"/>
  <c r="H12" i="4"/>
  <c r="AQ12" i="4" s="1"/>
  <c r="I12" i="4"/>
  <c r="AM12" i="4" s="1"/>
  <c r="J12" i="4"/>
  <c r="AP12" i="4" s="1"/>
  <c r="K12" i="4"/>
  <c r="AU12" i="4" s="1"/>
  <c r="L12" i="4"/>
  <c r="AR12" i="4" s="1"/>
  <c r="M12" i="4"/>
  <c r="AN12" i="4" s="1"/>
  <c r="N12" i="4"/>
  <c r="O12" i="4"/>
  <c r="C13" i="4"/>
  <c r="D13" i="4"/>
  <c r="E13" i="4"/>
  <c r="F13" i="4"/>
  <c r="G13" i="4"/>
  <c r="AT13" i="4" s="1"/>
  <c r="H13" i="4"/>
  <c r="AQ13" i="4" s="1"/>
  <c r="I13" i="4"/>
  <c r="AM13" i="4" s="1"/>
  <c r="J13" i="4"/>
  <c r="AP13" i="4" s="1"/>
  <c r="K13" i="4"/>
  <c r="AU13" i="4" s="1"/>
  <c r="L13" i="4"/>
  <c r="AR13" i="4" s="1"/>
  <c r="M13" i="4"/>
  <c r="AN13" i="4" s="1"/>
  <c r="N13" i="4"/>
  <c r="O13" i="4"/>
  <c r="C14" i="4"/>
  <c r="D14" i="4"/>
  <c r="E14" i="4"/>
  <c r="F14" i="4"/>
  <c r="G14" i="4"/>
  <c r="AT14" i="4" s="1"/>
  <c r="H14" i="4"/>
  <c r="AQ14" i="4" s="1"/>
  <c r="I14" i="4"/>
  <c r="AM14" i="4" s="1"/>
  <c r="J14" i="4"/>
  <c r="AP14" i="4" s="1"/>
  <c r="K14" i="4"/>
  <c r="AU14" i="4" s="1"/>
  <c r="L14" i="4"/>
  <c r="AR14" i="4" s="1"/>
  <c r="M14" i="4"/>
  <c r="AN14" i="4" s="1"/>
  <c r="N14" i="4"/>
  <c r="O14" i="4"/>
  <c r="C15" i="4"/>
  <c r="D15" i="4"/>
  <c r="E15" i="4"/>
  <c r="F15" i="4"/>
  <c r="G15" i="4"/>
  <c r="AT15" i="4" s="1"/>
  <c r="H15" i="4"/>
  <c r="AQ15" i="4" s="1"/>
  <c r="I15" i="4"/>
  <c r="AM15" i="4" s="1"/>
  <c r="J15" i="4"/>
  <c r="AP15" i="4" s="1"/>
  <c r="K15" i="4"/>
  <c r="AU15" i="4" s="1"/>
  <c r="L15" i="4"/>
  <c r="AR15" i="4" s="1"/>
  <c r="M15" i="4"/>
  <c r="AN15" i="4" s="1"/>
  <c r="N15" i="4"/>
  <c r="O15" i="4"/>
  <c r="C16" i="4"/>
  <c r="D16" i="4"/>
  <c r="E16" i="4"/>
  <c r="F16" i="4"/>
  <c r="G16" i="4"/>
  <c r="AT16" i="4" s="1"/>
  <c r="H16" i="4"/>
  <c r="AQ16" i="4" s="1"/>
  <c r="I16" i="4"/>
  <c r="AM16" i="4" s="1"/>
  <c r="J16" i="4"/>
  <c r="AP16" i="4" s="1"/>
  <c r="K16" i="4"/>
  <c r="AU16" i="4" s="1"/>
  <c r="L16" i="4"/>
  <c r="AR16" i="4" s="1"/>
  <c r="M16" i="4"/>
  <c r="AN16" i="4" s="1"/>
  <c r="N16" i="4"/>
  <c r="O16" i="4"/>
  <c r="C17" i="4"/>
  <c r="D17" i="4"/>
  <c r="E17" i="4"/>
  <c r="F17" i="4"/>
  <c r="G17" i="4"/>
  <c r="AT17" i="4" s="1"/>
  <c r="H17" i="4"/>
  <c r="AQ17" i="4" s="1"/>
  <c r="I17" i="4"/>
  <c r="AM17" i="4" s="1"/>
  <c r="J17" i="4"/>
  <c r="AP17" i="4" s="1"/>
  <c r="K17" i="4"/>
  <c r="AU17" i="4" s="1"/>
  <c r="L17" i="4"/>
  <c r="AR17" i="4" s="1"/>
  <c r="M17" i="4"/>
  <c r="AN17" i="4" s="1"/>
  <c r="N17" i="4"/>
  <c r="O17" i="4"/>
  <c r="C18" i="4"/>
  <c r="D18" i="4"/>
  <c r="E18" i="4"/>
  <c r="F18" i="4"/>
  <c r="G18" i="4"/>
  <c r="AT18" i="4" s="1"/>
  <c r="H18" i="4"/>
  <c r="AQ18" i="4" s="1"/>
  <c r="I18" i="4"/>
  <c r="AM18" i="4" s="1"/>
  <c r="J18" i="4"/>
  <c r="AP18" i="4" s="1"/>
  <c r="K18" i="4"/>
  <c r="AU18" i="4" s="1"/>
  <c r="L18" i="4"/>
  <c r="AR18" i="4" s="1"/>
  <c r="M18" i="4"/>
  <c r="AN18" i="4" s="1"/>
  <c r="N18" i="4"/>
  <c r="O18" i="4"/>
  <c r="C19" i="4"/>
  <c r="D19" i="4"/>
  <c r="E19" i="4"/>
  <c r="F19" i="4"/>
  <c r="G19" i="4"/>
  <c r="AT19" i="4" s="1"/>
  <c r="H19" i="4"/>
  <c r="AQ19" i="4" s="1"/>
  <c r="I19" i="4"/>
  <c r="AM19" i="4" s="1"/>
  <c r="J19" i="4"/>
  <c r="AP19" i="4" s="1"/>
  <c r="K19" i="4"/>
  <c r="AU19" i="4" s="1"/>
  <c r="L19" i="4"/>
  <c r="AR19" i="4" s="1"/>
  <c r="M19" i="4"/>
  <c r="AN19" i="4" s="1"/>
  <c r="N19" i="4"/>
  <c r="O19" i="4"/>
  <c r="C20" i="4"/>
  <c r="D20" i="4"/>
  <c r="E20" i="4"/>
  <c r="F20" i="4"/>
  <c r="G20" i="4"/>
  <c r="AT20" i="4" s="1"/>
  <c r="H20" i="4"/>
  <c r="AQ20" i="4" s="1"/>
  <c r="I20" i="4"/>
  <c r="AM20" i="4" s="1"/>
  <c r="J20" i="4"/>
  <c r="AP20" i="4" s="1"/>
  <c r="K20" i="4"/>
  <c r="AU20" i="4" s="1"/>
  <c r="L20" i="4"/>
  <c r="AR20" i="4" s="1"/>
  <c r="M20" i="4"/>
  <c r="AN20" i="4" s="1"/>
  <c r="N20" i="4"/>
  <c r="O20" i="4"/>
  <c r="C21" i="4"/>
  <c r="D21" i="4"/>
  <c r="E21" i="4"/>
  <c r="F21" i="4"/>
  <c r="G21" i="4"/>
  <c r="AT21" i="4" s="1"/>
  <c r="H21" i="4"/>
  <c r="AQ21" i="4" s="1"/>
  <c r="I21" i="4"/>
  <c r="AM21" i="4" s="1"/>
  <c r="J21" i="4"/>
  <c r="AP21" i="4" s="1"/>
  <c r="K21" i="4"/>
  <c r="AU21" i="4" s="1"/>
  <c r="L21" i="4"/>
  <c r="AR21" i="4" s="1"/>
  <c r="M21" i="4"/>
  <c r="AN21" i="4" s="1"/>
  <c r="N21" i="4"/>
  <c r="O21" i="4"/>
  <c r="C22" i="4"/>
  <c r="D22" i="4"/>
  <c r="E22" i="4"/>
  <c r="F22" i="4"/>
  <c r="G22" i="4"/>
  <c r="AT22" i="4" s="1"/>
  <c r="H22" i="4"/>
  <c r="AQ22" i="4" s="1"/>
  <c r="I22" i="4"/>
  <c r="AM22" i="4" s="1"/>
  <c r="J22" i="4"/>
  <c r="AP22" i="4" s="1"/>
  <c r="K22" i="4"/>
  <c r="AU22" i="4" s="1"/>
  <c r="L22" i="4"/>
  <c r="AR22" i="4" s="1"/>
  <c r="M22" i="4"/>
  <c r="AN22" i="4" s="1"/>
  <c r="N22" i="4"/>
  <c r="O22" i="4"/>
  <c r="C23" i="4"/>
  <c r="D23" i="4"/>
  <c r="E23" i="4"/>
  <c r="F23" i="4"/>
  <c r="G23" i="4"/>
  <c r="AT23" i="4" s="1"/>
  <c r="H23" i="4"/>
  <c r="AQ23" i="4" s="1"/>
  <c r="I23" i="4"/>
  <c r="AM23" i="4" s="1"/>
  <c r="J23" i="4"/>
  <c r="AP23" i="4" s="1"/>
  <c r="K23" i="4"/>
  <c r="AU23" i="4" s="1"/>
  <c r="L23" i="4"/>
  <c r="AR23" i="4" s="1"/>
  <c r="M23" i="4"/>
  <c r="AN23" i="4" s="1"/>
  <c r="N23" i="4"/>
  <c r="O23" i="4"/>
  <c r="C24" i="4"/>
  <c r="D24" i="4"/>
  <c r="E24" i="4"/>
  <c r="F24" i="4"/>
  <c r="G24" i="4"/>
  <c r="AT24" i="4" s="1"/>
  <c r="H24" i="4"/>
  <c r="AQ24" i="4" s="1"/>
  <c r="I24" i="4"/>
  <c r="AM24" i="4" s="1"/>
  <c r="J24" i="4"/>
  <c r="AP24" i="4" s="1"/>
  <c r="K24" i="4"/>
  <c r="AU24" i="4" s="1"/>
  <c r="L24" i="4"/>
  <c r="AR24" i="4" s="1"/>
  <c r="M24" i="4"/>
  <c r="AN24" i="4" s="1"/>
  <c r="N24" i="4"/>
  <c r="O24" i="4"/>
  <c r="C25" i="4"/>
  <c r="D25" i="4"/>
  <c r="E25" i="4"/>
  <c r="F25" i="4"/>
  <c r="G25" i="4"/>
  <c r="AT25" i="4" s="1"/>
  <c r="H25" i="4"/>
  <c r="AQ25" i="4" s="1"/>
  <c r="I25" i="4"/>
  <c r="AM25" i="4" s="1"/>
  <c r="J25" i="4"/>
  <c r="AP25" i="4" s="1"/>
  <c r="K25" i="4"/>
  <c r="AU25" i="4" s="1"/>
  <c r="L25" i="4"/>
  <c r="AR25" i="4" s="1"/>
  <c r="M25" i="4"/>
  <c r="AN25" i="4" s="1"/>
  <c r="N25" i="4"/>
  <c r="O25" i="4"/>
  <c r="C26" i="4"/>
  <c r="D26" i="4"/>
  <c r="E26" i="4"/>
  <c r="F26" i="4"/>
  <c r="G26" i="4"/>
  <c r="AT26" i="4" s="1"/>
  <c r="H26" i="4"/>
  <c r="AQ26" i="4" s="1"/>
  <c r="I26" i="4"/>
  <c r="AM26" i="4" s="1"/>
  <c r="J26" i="4"/>
  <c r="AP26" i="4" s="1"/>
  <c r="K26" i="4"/>
  <c r="AU26" i="4" s="1"/>
  <c r="L26" i="4"/>
  <c r="AR26" i="4" s="1"/>
  <c r="M26" i="4"/>
  <c r="AN26" i="4" s="1"/>
  <c r="N26" i="4"/>
  <c r="O26" i="4"/>
  <c r="C27" i="4"/>
  <c r="D27" i="4"/>
  <c r="E27" i="4"/>
  <c r="F27" i="4"/>
  <c r="G27" i="4"/>
  <c r="AT27" i="4" s="1"/>
  <c r="H27" i="4"/>
  <c r="AQ27" i="4" s="1"/>
  <c r="I27" i="4"/>
  <c r="AM27" i="4" s="1"/>
  <c r="J27" i="4"/>
  <c r="AP27" i="4" s="1"/>
  <c r="K27" i="4"/>
  <c r="AU27" i="4" s="1"/>
  <c r="L27" i="4"/>
  <c r="AR27" i="4" s="1"/>
  <c r="M27" i="4"/>
  <c r="AN27" i="4" s="1"/>
  <c r="N27" i="4"/>
  <c r="O27" i="4"/>
  <c r="C28" i="4"/>
  <c r="D28" i="4"/>
  <c r="E28" i="4"/>
  <c r="F28" i="4"/>
  <c r="G28" i="4"/>
  <c r="AT28" i="4" s="1"/>
  <c r="H28" i="4"/>
  <c r="AQ28" i="4" s="1"/>
  <c r="I28" i="4"/>
  <c r="AM28" i="4" s="1"/>
  <c r="J28" i="4"/>
  <c r="AP28" i="4" s="1"/>
  <c r="K28" i="4"/>
  <c r="AU28" i="4" s="1"/>
  <c r="L28" i="4"/>
  <c r="AR28" i="4" s="1"/>
  <c r="M28" i="4"/>
  <c r="AN28" i="4" s="1"/>
  <c r="N28" i="4"/>
  <c r="O28" i="4"/>
  <c r="C29" i="4"/>
  <c r="D29" i="4"/>
  <c r="E29" i="4"/>
  <c r="F29" i="4"/>
  <c r="G29" i="4"/>
  <c r="AT29" i="4" s="1"/>
  <c r="H29" i="4"/>
  <c r="AQ29" i="4" s="1"/>
  <c r="I29" i="4"/>
  <c r="AM29" i="4" s="1"/>
  <c r="J29" i="4"/>
  <c r="AP29" i="4" s="1"/>
  <c r="K29" i="4"/>
  <c r="AU29" i="4" s="1"/>
  <c r="L29" i="4"/>
  <c r="AR29" i="4" s="1"/>
  <c r="M29" i="4"/>
  <c r="AN29" i="4" s="1"/>
  <c r="N29" i="4"/>
  <c r="O29" i="4"/>
  <c r="AO5" i="4" l="1"/>
  <c r="AS25" i="4"/>
  <c r="AS41" i="4"/>
  <c r="AS73" i="4"/>
  <c r="AS57" i="4"/>
  <c r="AS36" i="4"/>
  <c r="AS72" i="4"/>
  <c r="AS60" i="4"/>
  <c r="AS56" i="4"/>
  <c r="AS80" i="4"/>
  <c r="AS76" i="4"/>
  <c r="AS29" i="4"/>
  <c r="AS13" i="4"/>
  <c r="AS49" i="4"/>
  <c r="AS33" i="4"/>
  <c r="AS61" i="4"/>
  <c r="AS28" i="4"/>
  <c r="AS20" i="4"/>
  <c r="AS52" i="4"/>
  <c r="AS44" i="4"/>
  <c r="AS64" i="4"/>
  <c r="AS27" i="4"/>
  <c r="AS15" i="4"/>
  <c r="AS43" i="4"/>
  <c r="AS39" i="4"/>
  <c r="AS71" i="4"/>
  <c r="AS67" i="4"/>
  <c r="AS63" i="4"/>
  <c r="AS59" i="4"/>
  <c r="AS55" i="4"/>
  <c r="AS79" i="4"/>
  <c r="AS75" i="4"/>
  <c r="AS21" i="4"/>
  <c r="AS17" i="4"/>
  <c r="AS45" i="4"/>
  <c r="AS37" i="4"/>
  <c r="AS69" i="4"/>
  <c r="AS65" i="4"/>
  <c r="AS53" i="4"/>
  <c r="AS77" i="4"/>
  <c r="AS24" i="4"/>
  <c r="AS16" i="4"/>
  <c r="AS48" i="4"/>
  <c r="AS40" i="4"/>
  <c r="AS32" i="4"/>
  <c r="AS68" i="4"/>
  <c r="AS23" i="4"/>
  <c r="AS19" i="4"/>
  <c r="AS51" i="4"/>
  <c r="AS47" i="4"/>
  <c r="AS35" i="4"/>
  <c r="AS31" i="4"/>
  <c r="AS26" i="4"/>
  <c r="AS22" i="4"/>
  <c r="AS18" i="4"/>
  <c r="AS14" i="4"/>
  <c r="AS50" i="4"/>
  <c r="AS46" i="4"/>
  <c r="AS42" i="4"/>
  <c r="AS38" i="4"/>
  <c r="AS34" i="4"/>
  <c r="AS30" i="4"/>
  <c r="AS70" i="4"/>
  <c r="AS66" i="4"/>
  <c r="AS62" i="4"/>
  <c r="AS58" i="4"/>
  <c r="AS54" i="4"/>
  <c r="AS78" i="4"/>
  <c r="AS74" i="4"/>
  <c r="AO22" i="4"/>
  <c r="AO18" i="4"/>
  <c r="AO14" i="4"/>
  <c r="AO46" i="4"/>
  <c r="AO38" i="4"/>
  <c r="AO34" i="4"/>
  <c r="AO70" i="4"/>
  <c r="AO66" i="4"/>
  <c r="AO58" i="4"/>
  <c r="AO54" i="4"/>
  <c r="AO29" i="4"/>
  <c r="AO25" i="4"/>
  <c r="AO13" i="4"/>
  <c r="AO49" i="4"/>
  <c r="AO41" i="4"/>
  <c r="AO33" i="4"/>
  <c r="AO69" i="4"/>
  <c r="AO61" i="4"/>
  <c r="AO77" i="4"/>
  <c r="AO28" i="4"/>
  <c r="AO24" i="4"/>
  <c r="AO20" i="4"/>
  <c r="AO16" i="4"/>
  <c r="AO52" i="4"/>
  <c r="AO48" i="4"/>
  <c r="AO44" i="4"/>
  <c r="AO40" i="4"/>
  <c r="AO36" i="4"/>
  <c r="AO32" i="4"/>
  <c r="AO72" i="4"/>
  <c r="AO68" i="4"/>
  <c r="AO64" i="4"/>
  <c r="AO60" i="4"/>
  <c r="AO56" i="4"/>
  <c r="AO80" i="4"/>
  <c r="AO76" i="4"/>
  <c r="AO26" i="4"/>
  <c r="AO50" i="4"/>
  <c r="AO42" i="4"/>
  <c r="AO30" i="4"/>
  <c r="AO62" i="4"/>
  <c r="AO78" i="4"/>
  <c r="AO74" i="4"/>
  <c r="AO21" i="4"/>
  <c r="AO17" i="4"/>
  <c r="AO45" i="4"/>
  <c r="AO37" i="4"/>
  <c r="AO73" i="4"/>
  <c r="AO65" i="4"/>
  <c r="AO57" i="4"/>
  <c r="AO53" i="4"/>
  <c r="AO27" i="4"/>
  <c r="AO23" i="4"/>
  <c r="AO19" i="4"/>
  <c r="AO15" i="4"/>
  <c r="AO51" i="4"/>
  <c r="AO47" i="4"/>
  <c r="AO43" i="4"/>
  <c r="AO39" i="4"/>
  <c r="AO35" i="4"/>
  <c r="AO31" i="4"/>
  <c r="AO71" i="4"/>
  <c r="AO67" i="4"/>
  <c r="AO63" i="4"/>
  <c r="AO59" i="4"/>
  <c r="AO55" i="4"/>
  <c r="AO79" i="4"/>
  <c r="AO75" i="4"/>
  <c r="AN87" i="4"/>
  <c r="AM87" i="4"/>
  <c r="E4" i="4"/>
  <c r="AS4" i="4" s="1"/>
  <c r="D4" i="4" l="1"/>
  <c r="C4" i="4"/>
  <c r="AM84" i="4" l="1"/>
  <c r="AN84" i="4"/>
  <c r="AN83" i="4" l="1"/>
  <c r="AN82" i="4"/>
  <c r="AM83" i="4"/>
  <c r="AM82" i="4"/>
  <c r="AN85" i="4"/>
  <c r="AM81" i="4"/>
  <c r="AN81" i="4"/>
  <c r="AM85" i="4"/>
  <c r="AN88" i="4" l="1"/>
  <c r="AM88" i="4"/>
  <c r="Q88" i="4" l="1"/>
  <c r="R88" i="4"/>
  <c r="S88" i="4"/>
  <c r="T88" i="4"/>
  <c r="U88" i="4"/>
  <c r="C88" i="4"/>
  <c r="E88" i="4"/>
  <c r="AS88" i="4" s="1"/>
  <c r="F88" i="4"/>
  <c r="G88" i="4"/>
  <c r="AT88" i="4" s="1"/>
  <c r="H88" i="4"/>
  <c r="AQ88" i="4" s="1"/>
  <c r="I88" i="4"/>
  <c r="J88" i="4"/>
  <c r="AP88" i="4" s="1"/>
  <c r="K88" i="4"/>
  <c r="AU88" i="4" s="1"/>
  <c r="L88" i="4"/>
  <c r="AR88" i="4" s="1"/>
  <c r="M88" i="4"/>
  <c r="N88" i="4"/>
  <c r="O88" i="4"/>
  <c r="O4" i="4"/>
  <c r="N4" i="4"/>
  <c r="M4" i="4"/>
  <c r="L4" i="4"/>
  <c r="AR4" i="4" s="1"/>
  <c r="K4" i="4"/>
  <c r="AU4" i="4" s="1"/>
  <c r="J4" i="4"/>
  <c r="AP4" i="4" s="1"/>
  <c r="I4" i="4"/>
  <c r="H4" i="4"/>
  <c r="AQ4" i="4" s="1"/>
  <c r="G4" i="4"/>
  <c r="AT4" i="4" s="1"/>
  <c r="F4" i="4"/>
  <c r="W88" i="4" l="1"/>
  <c r="AM4" i="4"/>
  <c r="AM86" i="4" s="1"/>
  <c r="AN4" i="4"/>
  <c r="AN86" i="4" s="1"/>
  <c r="AO4" i="4"/>
  <c r="AO88" i="4"/>
  <c r="F86" i="4"/>
  <c r="J86" i="4"/>
  <c r="AP86" i="4" s="1"/>
  <c r="N86" i="4"/>
  <c r="H86" i="4"/>
  <c r="AQ86" i="4" s="1"/>
  <c r="L86" i="4"/>
  <c r="AR86" i="4" s="1"/>
  <c r="L87" i="4"/>
  <c r="AR87" i="4" s="1"/>
  <c r="C87" i="4"/>
  <c r="U87" i="4"/>
  <c r="O87" i="4"/>
  <c r="G87" i="4"/>
  <c r="AT87" i="4" s="1"/>
  <c r="T87" i="4"/>
  <c r="N87" i="4"/>
  <c r="J87" i="4"/>
  <c r="AP87" i="4" s="1"/>
  <c r="F87" i="4"/>
  <c r="S87" i="4"/>
  <c r="H87" i="4"/>
  <c r="AQ87" i="4" s="1"/>
  <c r="Q87" i="4"/>
  <c r="I86" i="4"/>
  <c r="M86" i="4"/>
  <c r="K87" i="4"/>
  <c r="AU87" i="4" s="1"/>
  <c r="G86" i="4"/>
  <c r="AT86" i="4" s="1"/>
  <c r="K86" i="4"/>
  <c r="AU86" i="4" s="1"/>
  <c r="O86" i="4"/>
  <c r="M87" i="4"/>
  <c r="I87" i="4"/>
  <c r="E87" i="4"/>
  <c r="AS87" i="4" s="1"/>
  <c r="R87" i="4"/>
  <c r="W77" i="4"/>
  <c r="W49" i="4"/>
  <c r="W65" i="4"/>
  <c r="W33" i="4"/>
  <c r="W17" i="4"/>
  <c r="W53" i="4"/>
  <c r="W37" i="4"/>
  <c r="W73" i="4"/>
  <c r="W25" i="4"/>
  <c r="W75" i="4"/>
  <c r="W71" i="4"/>
  <c r="W56" i="4"/>
  <c r="W34" i="4"/>
  <c r="W61" i="4"/>
  <c r="W57" i="4"/>
  <c r="W45" i="4"/>
  <c r="W41" i="4"/>
  <c r="W29" i="4"/>
  <c r="W14" i="4"/>
  <c r="W78" i="4"/>
  <c r="W59" i="4"/>
  <c r="W40" i="4"/>
  <c r="W18" i="4"/>
  <c r="W69" i="4"/>
  <c r="W21" i="4"/>
  <c r="W66" i="4"/>
  <c r="W43" i="4"/>
  <c r="W24" i="4"/>
  <c r="W72" i="4"/>
  <c r="W50" i="4"/>
  <c r="W27" i="4"/>
  <c r="W68" i="4"/>
  <c r="W62" i="4"/>
  <c r="W55" i="4"/>
  <c r="W52" i="4"/>
  <c r="W46" i="4"/>
  <c r="W39" i="4"/>
  <c r="W36" i="4"/>
  <c r="W30" i="4"/>
  <c r="W23" i="4"/>
  <c r="W20" i="4"/>
  <c r="W15" i="4"/>
  <c r="W80" i="4"/>
  <c r="W74" i="4"/>
  <c r="W67" i="4"/>
  <c r="W64" i="4"/>
  <c r="W58" i="4"/>
  <c r="W51" i="4"/>
  <c r="W48" i="4"/>
  <c r="W42" i="4"/>
  <c r="W35" i="4"/>
  <c r="W32" i="4"/>
  <c r="W26" i="4"/>
  <c r="W19" i="4"/>
  <c r="W16" i="4"/>
  <c r="W79" i="4"/>
  <c r="W76" i="4"/>
  <c r="W70" i="4"/>
  <c r="W63" i="4"/>
  <c r="W60" i="4"/>
  <c r="W54" i="4"/>
  <c r="W47" i="4"/>
  <c r="W44" i="4"/>
  <c r="W38" i="4"/>
  <c r="W31" i="4"/>
  <c r="W28" i="4"/>
  <c r="W22" i="4"/>
  <c r="W13" i="4"/>
  <c r="W11" i="4"/>
  <c r="W9" i="4"/>
  <c r="W7" i="4"/>
  <c r="W5" i="4"/>
  <c r="W12" i="4"/>
  <c r="W10" i="4"/>
  <c r="W8" i="4"/>
  <c r="W6" i="4"/>
  <c r="W87" i="4" l="1"/>
  <c r="AO86" i="4"/>
  <c r="AO87" i="4"/>
  <c r="U4" i="4"/>
  <c r="U86" i="4" s="1"/>
  <c r="T4" i="4"/>
  <c r="T86" i="4" s="1"/>
  <c r="S4" i="4"/>
  <c r="S86" i="4" s="1"/>
  <c r="R86" i="4"/>
  <c r="Q4" i="4"/>
  <c r="Q86" i="4" s="1"/>
  <c r="E86" i="4"/>
  <c r="AS86" i="4" s="1"/>
  <c r="C86" i="4"/>
  <c r="W86" i="4" l="1"/>
  <c r="D55" i="3"/>
  <c r="W4" i="4" l="1"/>
  <c r="P4" i="4"/>
  <c r="V4" i="4" s="1"/>
  <c r="P10" i="4"/>
  <c r="V10" i="4" s="1"/>
  <c r="P5" i="4"/>
  <c r="V5" i="4" s="1"/>
  <c r="P6" i="4"/>
  <c r="V6" i="4" s="1"/>
  <c r="P7" i="4"/>
  <c r="V7" i="4" s="1"/>
  <c r="P12" i="4"/>
  <c r="V12" i="4" s="1"/>
  <c r="P8" i="4"/>
  <c r="V8" i="4" s="1"/>
  <c r="P18" i="4"/>
  <c r="V18" i="4" s="1"/>
  <c r="P13" i="4"/>
  <c r="V13" i="4" s="1"/>
  <c r="P11" i="4"/>
  <c r="V11" i="4" s="1"/>
  <c r="P15" i="4"/>
  <c r="V15" i="4" s="1"/>
  <c r="P14" i="4"/>
  <c r="V14" i="4" s="1"/>
  <c r="P20" i="4"/>
  <c r="V20" i="4" s="1"/>
  <c r="P21" i="4"/>
  <c r="V21" i="4" s="1"/>
  <c r="P16" i="4"/>
  <c r="V16" i="4" s="1"/>
  <c r="P17" i="4"/>
  <c r="V17" i="4" s="1"/>
  <c r="P19" i="4"/>
  <c r="V19" i="4" s="1"/>
  <c r="P22" i="4"/>
  <c r="V22" i="4" s="1"/>
  <c r="P68" i="4"/>
  <c r="V68" i="4" s="1"/>
  <c r="P24" i="4"/>
  <c r="V24" i="4" s="1"/>
  <c r="P25" i="4"/>
  <c r="V25" i="4" s="1"/>
  <c r="P27" i="4"/>
  <c r="V27" i="4" s="1"/>
  <c r="P23" i="4"/>
  <c r="V23" i="4" s="1"/>
  <c r="P77" i="4"/>
  <c r="V77" i="4" s="1"/>
  <c r="P28" i="4"/>
  <c r="V28" i="4" s="1"/>
  <c r="P30" i="4"/>
  <c r="V30" i="4" s="1"/>
  <c r="P31" i="4"/>
  <c r="V31" i="4" s="1"/>
  <c r="P73" i="4"/>
  <c r="V73" i="4" s="1"/>
  <c r="P34" i="4"/>
  <c r="V34" i="4" s="1"/>
  <c r="P69" i="4"/>
  <c r="V69" i="4" s="1"/>
  <c r="P37" i="4"/>
  <c r="V37" i="4" s="1"/>
  <c r="P41" i="4"/>
  <c r="V41" i="4" s="1"/>
  <c r="P38" i="4"/>
  <c r="V38" i="4" s="1"/>
  <c r="P48" i="4"/>
  <c r="V48" i="4" s="1"/>
  <c r="P39" i="4"/>
  <c r="V39" i="4" s="1"/>
  <c r="P40" i="4"/>
  <c r="V40" i="4" s="1"/>
  <c r="P42" i="4"/>
  <c r="V42" i="4" s="1"/>
  <c r="P43" i="4"/>
  <c r="V43" i="4" s="1"/>
  <c r="P44" i="4"/>
  <c r="V44" i="4" s="1"/>
  <c r="P45" i="4"/>
  <c r="V45" i="4" s="1"/>
  <c r="P46" i="4"/>
  <c r="V46" i="4" s="1"/>
  <c r="P26" i="4"/>
  <c r="V26" i="4" s="1"/>
  <c r="P62" i="4"/>
  <c r="V62" i="4" s="1"/>
  <c r="P54" i="4"/>
  <c r="V54" i="4" s="1"/>
  <c r="P70" i="4"/>
  <c r="V70" i="4" s="1"/>
  <c r="P49" i="4"/>
  <c r="V49" i="4" s="1"/>
  <c r="P32" i="4"/>
  <c r="V32" i="4" s="1"/>
  <c r="P50" i="4"/>
  <c r="V50" i="4" s="1"/>
  <c r="P51" i="4"/>
  <c r="V51" i="4" s="1"/>
  <c r="P53" i="4"/>
  <c r="V53" i="4" s="1"/>
  <c r="P33" i="4"/>
  <c r="V33" i="4" s="1"/>
  <c r="P52" i="4"/>
  <c r="V52" i="4" s="1"/>
  <c r="P55" i="4"/>
  <c r="V55" i="4" s="1"/>
  <c r="P67" i="4"/>
  <c r="V67" i="4" s="1"/>
  <c r="P56" i="4"/>
  <c r="V56" i="4" s="1"/>
  <c r="P29" i="4"/>
  <c r="V29" i="4" s="1"/>
  <c r="P35" i="4"/>
  <c r="V35" i="4" s="1"/>
  <c r="P57" i="4"/>
  <c r="V57" i="4" s="1"/>
  <c r="P36" i="4"/>
  <c r="V36" i="4" s="1"/>
  <c r="P58" i="4"/>
  <c r="V58" i="4" s="1"/>
  <c r="P59" i="4"/>
  <c r="V59" i="4" s="1"/>
  <c r="P60" i="4"/>
  <c r="V60" i="4" s="1"/>
  <c r="P61" i="4"/>
  <c r="V61" i="4" s="1"/>
  <c r="P63" i="4"/>
  <c r="V63" i="4" s="1"/>
  <c r="P64" i="4"/>
  <c r="V64" i="4" s="1"/>
  <c r="P65" i="4"/>
  <c r="V65" i="4" s="1"/>
  <c r="P47" i="4"/>
  <c r="V47" i="4" s="1"/>
  <c r="P66" i="4"/>
  <c r="V66" i="4" s="1"/>
  <c r="P71" i="4"/>
  <c r="V71" i="4" s="1"/>
  <c r="P72" i="4"/>
  <c r="V72" i="4" s="1"/>
  <c r="P74" i="4"/>
  <c r="V74" i="4" s="1"/>
  <c r="P75" i="4"/>
  <c r="V75" i="4" s="1"/>
  <c r="P76" i="4"/>
  <c r="V76" i="4" s="1"/>
  <c r="P78" i="4"/>
  <c r="V78" i="4" s="1"/>
  <c r="P79" i="4"/>
  <c r="V79" i="4" s="1"/>
  <c r="P80" i="4"/>
  <c r="V80" i="4" s="1"/>
  <c r="C16" i="2" l="1"/>
  <c r="C36" i="1"/>
  <c r="C25" i="1"/>
  <c r="C53" i="1"/>
  <c r="C45" i="1"/>
  <c r="C26" i="1"/>
  <c r="C51" i="1"/>
  <c r="C39" i="1"/>
  <c r="C42" i="1"/>
  <c r="C34" i="1"/>
  <c r="C50" i="1"/>
  <c r="C14" i="2"/>
  <c r="C13" i="2"/>
  <c r="C15" i="2"/>
  <c r="C47" i="1"/>
  <c r="C28" i="1"/>
  <c r="C32" i="1"/>
  <c r="C27" i="1"/>
  <c r="P88" i="4"/>
  <c r="V88" i="4" s="1"/>
  <c r="P87" i="4"/>
  <c r="V87" i="4" s="1"/>
  <c r="P9" i="4"/>
  <c r="V9" i="4" s="1"/>
  <c r="A1" i="3"/>
  <c r="A1" i="2"/>
  <c r="A1" i="1"/>
  <c r="P86" i="4" l="1"/>
  <c r="V86" i="4" s="1"/>
  <c r="C49" i="1"/>
  <c r="C38" i="1"/>
  <c r="C40" i="1"/>
  <c r="C43" i="1"/>
  <c r="C48" i="1"/>
  <c r="C10" i="2"/>
  <c r="C8" i="2"/>
  <c r="C6" i="2"/>
  <c r="C52" i="1"/>
  <c r="C33" i="1"/>
  <c r="C9" i="2"/>
  <c r="C37" i="1"/>
  <c r="C5" i="1"/>
  <c r="C41" i="1"/>
  <c r="C44" i="1"/>
  <c r="C35" i="1"/>
  <c r="C46" i="1"/>
  <c r="C58" i="1"/>
  <c r="C11" i="2"/>
  <c r="C59" i="1"/>
  <c r="C17" i="2"/>
  <c r="C12" i="2"/>
  <c r="B9" i="5"/>
  <c r="F53" i="1" s="1"/>
  <c r="E14" i="1" l="1"/>
  <c r="E25" i="1" s="1"/>
  <c r="F51" i="1"/>
  <c r="F50" i="1"/>
  <c r="F46" i="1"/>
  <c r="F42" i="1"/>
  <c r="E38" i="1"/>
  <c r="E34" i="1"/>
  <c r="F16" i="1"/>
  <c r="E12" i="1"/>
  <c r="F49" i="1"/>
  <c r="F45" i="1"/>
  <c r="E41" i="1"/>
  <c r="E37" i="1"/>
  <c r="E33" i="1"/>
  <c r="F19" i="1"/>
  <c r="F15" i="1"/>
  <c r="D64" i="3" s="1"/>
  <c r="E11" i="1"/>
  <c r="F48" i="1"/>
  <c r="F44" i="1"/>
  <c r="E40" i="1"/>
  <c r="E36" i="1"/>
  <c r="E32" i="1"/>
  <c r="D67" i="3" s="1"/>
  <c r="F18" i="1"/>
  <c r="E10" i="1"/>
  <c r="F47" i="1"/>
  <c r="F43" i="1"/>
  <c r="D66" i="3" s="1"/>
  <c r="E39" i="1"/>
  <c r="E35" i="1"/>
  <c r="F17" i="1"/>
  <c r="E13" i="1"/>
  <c r="D41" i="3"/>
  <c r="D42" i="3"/>
  <c r="D38" i="3"/>
  <c r="D39" i="3"/>
  <c r="D40" i="3"/>
  <c r="D12" i="3" l="1"/>
  <c r="G22" i="3"/>
  <c r="G14" i="3"/>
  <c r="D22" i="3"/>
  <c r="F52" i="1"/>
  <c r="F54" i="1" s="1"/>
  <c r="F27" i="1"/>
  <c r="G18" i="3"/>
  <c r="D14" i="3"/>
  <c r="D18" i="3"/>
  <c r="G12" i="3"/>
  <c r="E54" i="1"/>
  <c r="J54" i="1" l="1"/>
  <c r="E11" i="2"/>
  <c r="E26" i="1"/>
  <c r="F28" i="1"/>
  <c r="G15" i="2" s="1"/>
  <c r="E12" i="2"/>
  <c r="E17" i="2"/>
  <c r="G9" i="2"/>
  <c r="J18" i="3"/>
  <c r="E9" i="2"/>
  <c r="J14" i="3"/>
  <c r="D26" i="3"/>
  <c r="J12" i="3"/>
  <c r="G26" i="3"/>
  <c r="J22" i="3"/>
  <c r="D43" i="3"/>
  <c r="G13" i="2" l="1"/>
  <c r="G17" i="2"/>
  <c r="G14" i="2"/>
  <c r="G11" i="2"/>
  <c r="E29" i="1"/>
  <c r="E16" i="2"/>
  <c r="E15" i="2"/>
  <c r="I15" i="2" s="1"/>
  <c r="G16" i="2"/>
  <c r="F29" i="1"/>
  <c r="G10" i="2"/>
  <c r="G8" i="2"/>
  <c r="E8" i="2"/>
  <c r="E10" i="2"/>
  <c r="E13" i="2"/>
  <c r="E14" i="2"/>
  <c r="J23" i="3"/>
  <c r="D68" i="3"/>
  <c r="I14" i="2" l="1"/>
  <c r="I13" i="2"/>
  <c r="I16" i="2"/>
  <c r="I10" i="2"/>
  <c r="I11" i="2" l="1"/>
  <c r="I8" i="2"/>
  <c r="I17" i="2"/>
  <c r="E60" i="1"/>
  <c r="I9" i="2"/>
  <c r="F59" i="1"/>
  <c r="G12" i="2" s="1"/>
  <c r="F60" i="1" l="1"/>
  <c r="I12" i="2"/>
  <c r="E18" i="2"/>
  <c r="I18" i="2" l="1"/>
  <c r="G18" i="2"/>
</calcChain>
</file>

<file path=xl/sharedStrings.xml><?xml version="1.0" encoding="utf-8"?>
<sst xmlns="http://schemas.openxmlformats.org/spreadsheetml/2006/main" count="1655" uniqueCount="893">
  <si>
    <t>Debit</t>
  </si>
  <si>
    <t>Credit</t>
  </si>
  <si>
    <t>Entry</t>
  </si>
  <si>
    <t>Notes</t>
  </si>
  <si>
    <t>Totals</t>
  </si>
  <si>
    <t>of Resources</t>
  </si>
  <si>
    <t>Deferred Outflows</t>
  </si>
  <si>
    <t>Deferred Inflows</t>
  </si>
  <si>
    <t xml:space="preserve">Difference between actual and </t>
  </si>
  <si>
    <t>expected experience</t>
  </si>
  <si>
    <t>Net difference between projected and</t>
  </si>
  <si>
    <t xml:space="preserve">Contributions subsequent to the </t>
  </si>
  <si>
    <t>measurement date</t>
  </si>
  <si>
    <t>Total</t>
  </si>
  <si>
    <t>Sub</t>
  </si>
  <si>
    <t>Calculated</t>
  </si>
  <si>
    <t>(f)</t>
  </si>
  <si>
    <t>(b1)</t>
  </si>
  <si>
    <t>(b2)</t>
  </si>
  <si>
    <t>Change in proportion and differences</t>
  </si>
  <si>
    <t>between agency's contributions and</t>
  </si>
  <si>
    <t>proportionate share of contributions</t>
  </si>
  <si>
    <t>Rounding</t>
  </si>
  <si>
    <t>Description</t>
  </si>
  <si>
    <t>Difference between expected/actual experience</t>
  </si>
  <si>
    <t>Change in proportion; contributions during measurement period</t>
  </si>
  <si>
    <t>Difference between projected/actual investment earnings</t>
  </si>
  <si>
    <t>1)</t>
  </si>
  <si>
    <t>2)</t>
  </si>
  <si>
    <t>Year ended June 30:</t>
  </si>
  <si>
    <t>Net Deferred</t>
  </si>
  <si>
    <t>3)</t>
  </si>
  <si>
    <t>Deferred Outflow Amount</t>
  </si>
  <si>
    <t>Agency Num</t>
  </si>
  <si>
    <t>Agency Name</t>
  </si>
  <si>
    <t>Total Contributions</t>
  </si>
  <si>
    <t>N C SCHOOL OF SCIENCE &amp; MATHEMATICS</t>
  </si>
  <si>
    <t>APPALACHIAN STATE UNIVERSITY</t>
  </si>
  <si>
    <t>N C SCHOOL OF THE ARTS</t>
  </si>
  <si>
    <t>EAST CAROLINA UNIVERSITY</t>
  </si>
  <si>
    <t>ELIZABETH CITY STATE UNIVERSITY</t>
  </si>
  <si>
    <t>FAYETTEVILLE STATE UNIVERSITY</t>
  </si>
  <si>
    <t>NC A&amp;T UNIVERSITY</t>
  </si>
  <si>
    <t>N C CENTRAL UNIVERSITY</t>
  </si>
  <si>
    <t>UNIVERSITY OF NORTH CAROLINA AT GREENSBORO</t>
  </si>
  <si>
    <t>UNC - PEMBROKE</t>
  </si>
  <si>
    <t>N C STATE UNIVERSITY</t>
  </si>
  <si>
    <t>UNC-CH CB 1260</t>
  </si>
  <si>
    <t>UNC HEALTH CARE SYSTEM</t>
  </si>
  <si>
    <t>WESTERN CAROLINA UNIVERSITY</t>
  </si>
  <si>
    <t>WINSTON-SALEM STATE UNIVERSITY</t>
  </si>
  <si>
    <t>UNIVERSITY OF NORTH CAROLINA AT ASHEVILLE</t>
  </si>
  <si>
    <t>UNIVERSITY OF NORTH CAROLINA AT CHARLOTTE</t>
  </si>
  <si>
    <t>UNIVERSITY OF NORTH CAROLINA AT WILMINGTON</t>
  </si>
  <si>
    <t>ALAMANCE COMMUNITY COLLEGE</t>
  </si>
  <si>
    <t>SOUTH PIEDMONT COMMUNITY COLLEGE</t>
  </si>
  <si>
    <t>BEAUFORT COUNTY COMMUNITY COLLEGE</t>
  </si>
  <si>
    <t>BLADEN COMMUNITY COLLEGE</t>
  </si>
  <si>
    <t>BRUNSWICK COMMUNITY COLLEGE</t>
  </si>
  <si>
    <t>ASHEVILLE-BUNCOMBE TECHNICAL COLLEGE</t>
  </si>
  <si>
    <t>WESTERN PIEDMONT COMM COLLEGE</t>
  </si>
  <si>
    <t>CALDWELL COMMUNITY COLLEGE</t>
  </si>
  <si>
    <t>CARTERET COMMUNITY COLLEGE</t>
  </si>
  <si>
    <t>CATAWBA VALLEY COMMUNITY COLLEGE</t>
  </si>
  <si>
    <t>TRI-COUNTY COMMUNITY COLLEGE</t>
  </si>
  <si>
    <t>CLEVELAND TECHNICAL COLLEGE</t>
  </si>
  <si>
    <t>SOUTHEASTERN COMMUNITY COLLEGE</t>
  </si>
  <si>
    <t>CRAVEN COMMUNITY COLLEGE</t>
  </si>
  <si>
    <t>FAYETTEVILLE TECHNICAL COMMUNITY COLLEGE</t>
  </si>
  <si>
    <t>DAVIDSON COUNTY COMMUNITY COLLEGE</t>
  </si>
  <si>
    <t>JAMES SPRUNT TECHNICAL COLLEGE</t>
  </si>
  <si>
    <t>DURHAM TECHNICAL INSTITUTE</t>
  </si>
  <si>
    <t>EDGECOMBE TECHNICAL COLLEGE</t>
  </si>
  <si>
    <t>FORSYTH TECHNICAL INSTITUTE</t>
  </si>
  <si>
    <t>GASTON COLLEGE</t>
  </si>
  <si>
    <t>GUILFORD TECHNICAL COMMUNITY COLLEGE</t>
  </si>
  <si>
    <t>HALIFAX COMMUNITY COLLEGE</t>
  </si>
  <si>
    <t>HAYWOOD TECHNICAL COLLEGE</t>
  </si>
  <si>
    <t>BLUE RIDGE COMMUNITY COLLEGE</t>
  </si>
  <si>
    <t>ROANOKE-CHOWAN COMMUNITY COLLEGE</t>
  </si>
  <si>
    <t>MITCHELL COMMUNITY COLLEGE</t>
  </si>
  <si>
    <t>SOUTHWESTERN COMMUNITY COLLEGE</t>
  </si>
  <si>
    <t>JOHNSTON TECHNICAL COLLEGE</t>
  </si>
  <si>
    <t>CENTRAL CAROLINA COMMUNITY COLLEGE</t>
  </si>
  <si>
    <t>LENOIR COUNTY COMMUNITY COLLEGE</t>
  </si>
  <si>
    <t>MARTIN COMMUNITY COLLEGE</t>
  </si>
  <si>
    <t>MCDOWELL TECHNICAL COLLEGE</t>
  </si>
  <si>
    <t>CENTRAL PIEDMONT COMMUNITY COLLEGE</t>
  </si>
  <si>
    <t>MAYLAND TECHNICAL COLLEGE</t>
  </si>
  <si>
    <t>MONTGOMERY COMMUNITY COLLEGE</t>
  </si>
  <si>
    <t>SANDHILLS COMMUNITY COLLEGE</t>
  </si>
  <si>
    <t>NASH TECHNICAL COLLEGE</t>
  </si>
  <si>
    <t>CAPE FEAR COMMUNITY COLLEGE</t>
  </si>
  <si>
    <t>COASTAL CAROLINA COMMUNITY COLLEGE</t>
  </si>
  <si>
    <t>PAMLICO COMMUNITY COLLEGE</t>
  </si>
  <si>
    <t>COLLEGE OF THE ALBEMARLE</t>
  </si>
  <si>
    <t>PIEDMONT COMMUNITY COLLEGE</t>
  </si>
  <si>
    <t>PITT COMMUNITY COLLEGE</t>
  </si>
  <si>
    <t>RANDOLPH COMMUNITY COLLEGE</t>
  </si>
  <si>
    <t>RICHMOND TECHNICAL COLLEGE</t>
  </si>
  <si>
    <t>ROBESON COMMUNITY COLLEGE</t>
  </si>
  <si>
    <t>ROCKINGHAM COMMUNITY COLLEGE</t>
  </si>
  <si>
    <t>ROWAN-CABARRUS COMMUNITY COLLEGE</t>
  </si>
  <si>
    <t>ISOTHERMAL COMMUNITY COLLEGE</t>
  </si>
  <si>
    <t>SAMPSON COMMUNITY COLLEGE</t>
  </si>
  <si>
    <t>STANLY COMMUNITY COLLEGE</t>
  </si>
  <si>
    <t>SURRY COMMUNITY COLLEGE</t>
  </si>
  <si>
    <t>VANCE-GRANVILLE COMMUNITY COLLEGE</t>
  </si>
  <si>
    <t>WAKE TECHNICAL COLLEGE</t>
  </si>
  <si>
    <t>WAYNE COMMUNITY COLLEGE</t>
  </si>
  <si>
    <t>WILKES COMMUNITY COLLEGE</t>
  </si>
  <si>
    <t>WILSON COMMUNITY COLLEGE</t>
  </si>
  <si>
    <t>NC HOUSING FINANCE AGENCY</t>
  </si>
  <si>
    <t>Deferred Inflows Of Resources</t>
  </si>
  <si>
    <t>Pension Expense</t>
  </si>
  <si>
    <t>Changes In Proportion And Differences Between Employer Contributions And Proportional Share Of Contributions</t>
  </si>
  <si>
    <t>Differences Between Expected And Actual Experience</t>
  </si>
  <si>
    <t>Net Difference Between Projected And Actual Investment Earnings On Plan Investments</t>
  </si>
  <si>
    <t>Proportional Share Of Pension Expense</t>
  </si>
  <si>
    <t>Net Amortization Of Deferred Amounts From Changes In Proportion And Differences Between Employer Contributions And Proportional Share Of Contributions</t>
  </si>
  <si>
    <t>Total Employer Pension Expense</t>
  </si>
  <si>
    <t>Amortization</t>
  </si>
  <si>
    <t>Amortization Rounding Adjustment</t>
  </si>
  <si>
    <t>4)</t>
  </si>
  <si>
    <t>Additions</t>
  </si>
  <si>
    <t>Liability</t>
  </si>
  <si>
    <t>Changes in Long-term Liabilities (Worksheet 310)</t>
  </si>
  <si>
    <t>Restatement–net position</t>
  </si>
  <si>
    <t>NCAS</t>
  </si>
  <si>
    <t>Number</t>
  </si>
  <si>
    <t>Deferred Outflows Of Resources</t>
  </si>
  <si>
    <t>Changes Of Assumptions</t>
  </si>
  <si>
    <t>TOTAL Recognition of Deferred (Inflows)/Outflows</t>
  </si>
  <si>
    <t>Changes of assumptions</t>
  </si>
  <si>
    <t>d25 above</t>
  </si>
  <si>
    <t>Rounded, if necessary</t>
  </si>
  <si>
    <t>(b1) and (b2)</t>
  </si>
  <si>
    <t>Entity</t>
  </si>
  <si>
    <t>CURRENT FISCAL YEAR ENTRIES</t>
  </si>
  <si>
    <t>After Measurement Date (MANUAL ENTRY)</t>
  </si>
  <si>
    <t>investments (see note below)</t>
  </si>
  <si>
    <t>Choose Your Agency:</t>
  </si>
  <si>
    <t>Account Name</t>
  </si>
  <si>
    <t>Debit (Credit)</t>
  </si>
  <si>
    <t>13th Period</t>
  </si>
  <si>
    <r>
      <t>Deletions</t>
    </r>
    <r>
      <rPr>
        <i/>
        <sz val="10"/>
        <rFont val="Arial"/>
        <family val="2"/>
      </rPr>
      <t xml:space="preserve"> (see Note 1)</t>
    </r>
  </si>
  <si>
    <t xml:space="preserve">Recognized in </t>
  </si>
  <si>
    <t>Amount to be</t>
  </si>
  <si>
    <t>Employer Balances of Deferred Outflows of Resources and Deferred Inflows of</t>
  </si>
  <si>
    <t>Schedule of the Net Amount of the Employer's Balances of Deferred Outflows of</t>
  </si>
  <si>
    <t>Resources and Deferred Inflows of Resources That will be Recognized in</t>
  </si>
  <si>
    <t>Amount of the Employer's Balance of Deferred Outflows of Resources That will be</t>
  </si>
  <si>
    <t>Prior year adjustments</t>
  </si>
  <si>
    <r>
      <t xml:space="preserve">Due within one year </t>
    </r>
    <r>
      <rPr>
        <i/>
        <sz val="10"/>
        <rFont val="Arial"/>
        <family val="2"/>
      </rPr>
      <t>(see Note 2)</t>
    </r>
  </si>
  <si>
    <t>Entry, Net</t>
  </si>
  <si>
    <t>Calculated by OSC</t>
  </si>
  <si>
    <t>See entry #1 above</t>
  </si>
  <si>
    <t>Colleague</t>
  </si>
  <si>
    <t>Entity Type:</t>
  </si>
  <si>
    <t>TOTAL UNC SYSTEM</t>
  </si>
  <si>
    <t>TOTAL COMMUNITY COLLEGES</t>
  </si>
  <si>
    <t>TOTAL OTHER COMPONENT UNITS</t>
  </si>
  <si>
    <t>STATE EDUCATION ASSISTANCE AUTHORITY</t>
  </si>
  <si>
    <t>Component Units</t>
  </si>
  <si>
    <t>Employer Number</t>
  </si>
  <si>
    <t>Employer</t>
  </si>
  <si>
    <t>Employer Name</t>
  </si>
  <si>
    <t>OSA's Audit Report</t>
  </si>
  <si>
    <t>STATE HEALTH PLAN</t>
  </si>
  <si>
    <t>NC STATE PORTS AUTHORITY</t>
  </si>
  <si>
    <t>NC GLOBAL TRANSPARK AUTHORITY</t>
  </si>
  <si>
    <t>Present Value Of Future Salary Allocation</t>
  </si>
  <si>
    <t>Net Deferred Outflow</t>
  </si>
  <si>
    <t>Net Deferred Inflow</t>
  </si>
  <si>
    <t>BEGINNING BALANCES (FORMULAS)</t>
  </si>
  <si>
    <t>Miscellaneous expense</t>
  </si>
  <si>
    <t>Miscellaneous income</t>
  </si>
  <si>
    <t>Reversal of beginning deferred outflow balance – per actuary</t>
  </si>
  <si>
    <t>Adjustment for PY Contributions (FORMULAS)</t>
  </si>
  <si>
    <t>Needed for account numbers (NCAS/Colleague). Hidden on Summary Tab (columns Q/R). In Lookup formula, column number on data tab plus 1.</t>
  </si>
  <si>
    <t>&lt;&lt; Click to see a list of agencies (sorted by agency type).</t>
  </si>
  <si>
    <t>(d1), (d2), and (d3)</t>
  </si>
  <si>
    <t>(a1) and (a2)</t>
  </si>
  <si>
    <t>(a1)</t>
  </si>
  <si>
    <t>(a2)</t>
  </si>
  <si>
    <t>(c)</t>
  </si>
  <si>
    <t>(d1)</t>
  </si>
  <si>
    <t>(d2)</t>
  </si>
  <si>
    <t>(d3)</t>
  </si>
  <si>
    <t>(e)</t>
  </si>
  <si>
    <t>See Summary tab, Note 1</t>
  </si>
  <si>
    <t>Note: This template was developed by the NC Office of the State Controller. If you have</t>
  </si>
  <si>
    <t>Not Needed</t>
  </si>
  <si>
    <t>Note:</t>
  </si>
  <si>
    <t>any questions about this template, please contact Virginia Sisson at (919) 707-0530 or</t>
  </si>
  <si>
    <t>virginia.sisson@osc.nc.gov</t>
  </si>
  <si>
    <t>Deferred outflows for OPEB</t>
  </si>
  <si>
    <t>Net OPEB liability</t>
  </si>
  <si>
    <t>Deferred inflows for OPEB</t>
  </si>
  <si>
    <t>Beginning net OPEB liability</t>
  </si>
  <si>
    <t>Deferred outflow for OPEB</t>
  </si>
  <si>
    <t>Change in OPEB Amounts (FORMULAS)</t>
  </si>
  <si>
    <t>OPEB expense</t>
  </si>
  <si>
    <t>Net OPEB liability–noncurrent</t>
  </si>
  <si>
    <t>(To record changes in the net OPEB liability, deferred outflows/inflows of resources</t>
  </si>
  <si>
    <t>for OPEB, OPEB expense, and reversal of deferred outflow in entry 1)</t>
  </si>
  <si>
    <t xml:space="preserve">(To record OPEB contributions after the measurement date) </t>
  </si>
  <si>
    <t>Change in net OPEB liability recognized immediately</t>
  </si>
  <si>
    <t>Change in the net OPEB liability</t>
  </si>
  <si>
    <t>Differences between expected and actual experience with regard to economic and demographic factors in the measurement of the total OPEB liability should be included in collective OPEB expense, beginning in the current measurement period, using a systematic and rational method over a closed period equal to the average of the expected remaining service lives of all employees that are provided with OPEB through the OPEB plan (active employees and inactive employees) determined as of the beginning of the measurement period. The portion not included in collective OPEB expense should be included in collective deferred outflows of resources or deferred inflows of resources related to OPEB. (GASB 75, paragraph 86a)</t>
  </si>
  <si>
    <t>Experience gains represent actual experience that increases the total OPEB liability less than projected or decreases the total OPEB liability greater than projected. These amounts result in decreases in OPEB expense and increases in deferred inflows of resources. (Implementation Guide No. 2017-3, page 181)</t>
  </si>
  <si>
    <t>The difference between projected and actual earnings on OPEB plan investments should be included in collective OPEB expense using a systematic and rational method over a closed five-year period, beginning in the current measurement period. The amount not included in collective OPEB expense should be included in collective deferred outflows of resources or deferred inflows of resources related to OPEB. Collective deferred outflows of resources and deferred inflows of resources arising from differences between projected and actual OPEB plan investment earnings in different measurement periods should be aggregated and included as a net collective deferred outflow of resources related to OPEB or a net collective deferred inflow of resources related to OPEB. (GASB 75, paragraph 86b)</t>
  </si>
  <si>
    <t>Investment returns that are greater than projected decrease OPEB expense and increase deferred inflows of resources.</t>
  </si>
  <si>
    <t>Changes of assumptions about future economic or demographic factors or of other inputs should be included in collective OPEB expense, beginning in the current measurement period, using a systematic and rational method over a closed period equal to the average of the expected remaining service lives of all employees that are provided with OPEB through the OPEB plan (active employees and inactive employees) determined as of the beginning of the measurement period. The portion not included in collective OPEB expense should be included in collective deferred outflows of resources or deferred inflows of resources related to OPEB. (GASB 75, paragraph 86a)</t>
  </si>
  <si>
    <t>If there is a change in the employer’s proportion of the collective net OPEB liability since the prior measurement date, the net effect of that change on the employer’s proportionate shares of the collective net OPEB liability and collective deferred outflows of resources and deferred inflows of resources related to OPEB, determined as of the beginning of the measurement period, should be recognized in the employer’s OPEB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OPEB through the OPEB plan (active employees and inactive employees) determined as of the beginning of the measurement period. The amount not recognized in the employer’s OPEB expense should be reported as a deferred outflow of resources or deferred inflow of resources related to OPEB. (GASB 75, paragraph 64)</t>
  </si>
  <si>
    <t>If the employer's actual contributions exceed its proportionate share of total contributions, the difference increases OPEB expense and results in a deferred outflow of resources. (Implementation Guide No. 2017-3, page 192)</t>
  </si>
  <si>
    <t>Contributions to the OPEB plan from the employer subsequent to the measurement date of the collective net OPEB liability and before the end of the employer’s reporting period should be reported as a deferred outflow of resources related to OPEB. (GASB 75, paragraph 68)</t>
  </si>
  <si>
    <t>Components of collective OPEB expense include—service cost, interest on the total OPEB liability, effect of changes in benefit terms, projected investment income, employee contributions, expensed portions of deferred outflows/inflows of resources related to OPEB, plan administrative expense, and other changes in fiduciary net position. Contributions from employers or nonemployer contributing entities should not be included in OPEB expense. (GASB 75, paragraph 86)</t>
  </si>
  <si>
    <t>For contributions to the OPEB plan other than those to separately finance specific liabilities of an individual employer or nonemployer contributing entity to the OPEB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OPEB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OPEB through the OPEB plan (active employees and inactive employees) determined as of the beginning of the measurement period. The amount not recognized in the employer’s OPEB expense should be reported as a deferred outflow of resources or deferred inflow of resources related to OPEB. (GASB 75, paragraph 65)</t>
  </si>
  <si>
    <t>Resources Related to OPEB by Classification:</t>
  </si>
  <si>
    <t>OPEB Expense</t>
  </si>
  <si>
    <t>actual earnings on OPEB plan</t>
  </si>
  <si>
    <r>
      <rPr>
        <i/>
        <u/>
        <sz val="10"/>
        <rFont val="Arial"/>
        <family val="2"/>
      </rPr>
      <t>Note</t>
    </r>
    <r>
      <rPr>
        <i/>
        <sz val="10"/>
        <rFont val="Arial"/>
        <family val="2"/>
      </rPr>
      <t>: Collective deferred outflows of resources and deferred inflows of resources arising from differences between projected and actual OPEB plan investment earnings in different measurement periods should be aggregated and included as a net collective deferred outflow of resources related to OPEB or a net collective deferred inflow of resources related to OPEB. (GASB 75, paragraph 86b and 96h(3))</t>
    </r>
  </si>
  <si>
    <t>Source: GASB 75, paragraph 96h(1) thru (5)</t>
  </si>
  <si>
    <t>OPEB Expense:</t>
  </si>
  <si>
    <t>Note: negative amounts indicate amortization of OPEB deferrals that will decrease</t>
  </si>
  <si>
    <t>OPEB expense.</t>
  </si>
  <si>
    <t>Source: GASB 75, paragraph 96i(1)</t>
  </si>
  <si>
    <t>Included as a Reduction of the Net OPEB Liability in the Fiscal Year Ended</t>
  </si>
  <si>
    <t>Source: GASB 75, paragraph 96i(2)</t>
  </si>
  <si>
    <t>Net OPEB</t>
  </si>
  <si>
    <r>
      <rPr>
        <i/>
        <u/>
        <sz val="10"/>
        <rFont val="Arial"/>
        <family val="2"/>
      </rPr>
      <t>Note 1</t>
    </r>
    <r>
      <rPr>
        <i/>
        <sz val="10"/>
        <rFont val="Arial"/>
        <family val="2"/>
      </rPr>
      <t>: Employers should disclose the net change amount (instead of both additions and deletions) and reference that more information on the net OPEB liability is available in the separate note on OPEB plans. Since the amount reported is the employer’s proportionate share of the collective net OPEB liability, additions and deletions are not relevant for this disclosure. The collective net OPEB liability equals the total OPEB liability for the OPEB plan, net of the plan’s fiduciary net position.</t>
    </r>
  </si>
  <si>
    <r>
      <rPr>
        <i/>
        <u/>
        <sz val="10"/>
        <rFont val="Arial"/>
        <family val="2"/>
      </rPr>
      <t>Note 2</t>
    </r>
    <r>
      <rPr>
        <i/>
        <sz val="10"/>
        <rFont val="Arial"/>
        <family val="2"/>
      </rPr>
      <t>: If the employer reports a net OPEB liability under Statement 75, the amount of the net OPEB liability that is “due” within one year is the amount of benefit payments expected to be paid within one year, net of the OPEB plan’s fiduciary net position available to pay that amount. Therefore, there would be no amount that is “due” within one year unless the OPEB plan’s fiduciary net position is less than the amount of benefit payments expected to be paid within one year. (Comprehensive Implementation Guide, 7.22.6)</t>
    </r>
  </si>
  <si>
    <t>GASB 75 Template – RHBF</t>
  </si>
  <si>
    <t>RHBF Number:</t>
  </si>
  <si>
    <t>GASB 75 Journal Entries – RHBF</t>
  </si>
  <si>
    <t>RHBF contributions</t>
  </si>
  <si>
    <t xml:space="preserve">Calculated by multiplying the covered payroll for RHBF (on an accrual basis) </t>
  </si>
  <si>
    <t>GASB 75 Disclosures – RHBF</t>
  </si>
  <si>
    <t>Changes of Assumptions</t>
  </si>
  <si>
    <t>Net OPEB Liability</t>
  </si>
  <si>
    <t>NOPEBL Rounding Adjustment</t>
  </si>
  <si>
    <t>Total Employer OPEB Expense</t>
  </si>
  <si>
    <t>Proportional Share Of OPEB Expense</t>
  </si>
  <si>
    <t>NORTH CAROLINA BOARD OF OPTICIANS</t>
  </si>
  <si>
    <t>THE NORTH CAROLINA LEADERSHIP ACADEMY</t>
  </si>
  <si>
    <t>At the beginning of the period in which the provisions of Statement 75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OPEB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OPEB should be recognized. (GASB 71, paragraph 3)</t>
  </si>
  <si>
    <t>Retiree Health Benefit Fund – Financial Audit of Schedules</t>
  </si>
  <si>
    <t>**check asset/liability account depending on whether it's an asset or liability</t>
  </si>
  <si>
    <t>NORTH CAROLINA EDUCATION LOTTERY</t>
  </si>
  <si>
    <t>DEPARTMENT OF JUSTICE</t>
  </si>
  <si>
    <t>DEPARTMENT OF NATURAL AND CULTURAL RESOURCES</t>
  </si>
  <si>
    <t>ADMINISTRATIVE OFFICE OF THE COURTS</t>
  </si>
  <si>
    <t>DEPARTMENT OF ADMINISTRATION</t>
  </si>
  <si>
    <t>WILDLIFE RESOURCES COMMISSION</t>
  </si>
  <si>
    <t>STATE BOARD OF ELECTIONS</t>
  </si>
  <si>
    <t>GENERAL ASSEMBLY</t>
  </si>
  <si>
    <t>DEPARTMENT OF COMMERCE</t>
  </si>
  <si>
    <t>DEPARTMENT OF PUBLIC SAFETY</t>
  </si>
  <si>
    <t>UNIVERSITY OF NORTH CAROLINA PRESS</t>
  </si>
  <si>
    <t>DEPARTMENT OF PUBLIC INSTRUCTION</t>
  </si>
  <si>
    <t>YANCEY COUNTY SCHOOLS</t>
  </si>
  <si>
    <t>ALAMANCE COUNTY SCHOOLS</t>
  </si>
  <si>
    <t>CLOVER GARDEN CHARTER SCHOOL</t>
  </si>
  <si>
    <t>RIVER MILL ACADEMY CHARTER</t>
  </si>
  <si>
    <t>THE HAWBRIDGE SCHOOL</t>
  </si>
  <si>
    <t>ALEXANDER COUNTY SCHOOLS</t>
  </si>
  <si>
    <t>ALLEGHANY COUNTY SCHOOLS</t>
  </si>
  <si>
    <t>ANSON COUNTY SCHOOLS</t>
  </si>
  <si>
    <t>ASHE COUNTY SCHOOLS</t>
  </si>
  <si>
    <t>AVERY COUNTY SCHOOLS</t>
  </si>
  <si>
    <t>GRANDFATHER ACADEMY</t>
  </si>
  <si>
    <t>BEAUFORT COUNTY SCHOOLS</t>
  </si>
  <si>
    <t>BERTIE COUNTY SCHOOLS</t>
  </si>
  <si>
    <t>BLADEN COUNTY SCHOOLS</t>
  </si>
  <si>
    <t>BRUNSWICK COUNTY SCHOOLS</t>
  </si>
  <si>
    <t>BUNCOMBE COUNTY SCHOOLS</t>
  </si>
  <si>
    <t>EVERGREEN COMMUNITY CHARTER SCHOOL</t>
  </si>
  <si>
    <t>ASHEVILLE CITY SCHOOLS</t>
  </si>
  <si>
    <t>BURKE COUNTY SCHOOLS</t>
  </si>
  <si>
    <t>CABARRUS COUNTY SCHOOLS</t>
  </si>
  <si>
    <t>CAROLINA INTERNATIONAL SCHOOL</t>
  </si>
  <si>
    <t>KANNAPOLIS CITY SCHOOLS</t>
  </si>
  <si>
    <t>CALDWELL COUNTY SCHOOLS</t>
  </si>
  <si>
    <t>CAMDEN COUNTY SCHOOLS</t>
  </si>
  <si>
    <t>CARTERET COUNTY SCHOOLS</t>
  </si>
  <si>
    <t>CASWELL COUNTY SCHOOLS</t>
  </si>
  <si>
    <t>CATAWBA COUNTY SCHOOLS</t>
  </si>
  <si>
    <t>HICKORY CITY SCHOOLS</t>
  </si>
  <si>
    <t>NEWTON-CONOVER CITY SCHOOLS</t>
  </si>
  <si>
    <t>CHATHAM COUNTY SCHOOLS</t>
  </si>
  <si>
    <t>CHEROKEE COUNTY SCHOOLS</t>
  </si>
  <si>
    <t>EDENTON-CHOWAN COUNTY SCHOOLS</t>
  </si>
  <si>
    <t>CLAY COUNTY SCHOOLS</t>
  </si>
  <si>
    <t>CLEVELAND COUNTY SCHOOLS</t>
  </si>
  <si>
    <t>COLUMBUS COUNTY SCHOOLS</t>
  </si>
  <si>
    <t>WHITEVILLE CITY SCHOOLS</t>
  </si>
  <si>
    <t>CUMBERLAND COUNTY SCHOOLS</t>
  </si>
  <si>
    <t>CURRITUCK COUNTY SCHOOLS</t>
  </si>
  <si>
    <t>DARE COUNTY SCHOOLS</t>
  </si>
  <si>
    <t>DAVIDSON COUNTY SCHOOLS</t>
  </si>
  <si>
    <t>LEXINGTON CITY SCHOOLS</t>
  </si>
  <si>
    <t>THOMASVILLE CITY SCHOOLS</t>
  </si>
  <si>
    <t>DAVIE COUNTY SCHOOLS</t>
  </si>
  <si>
    <t>CORNERSTONE ACADEMY</t>
  </si>
  <si>
    <t>DUPLIN COUNTY SCHOOLS</t>
  </si>
  <si>
    <t>DURHAM PUBLIC SCHOOLS</t>
  </si>
  <si>
    <t>HEALTHY START ACADEMY</t>
  </si>
  <si>
    <t>VOYAGER ACADEMY</t>
  </si>
  <si>
    <t>BEAR GRASS CHARTER SCHOOL</t>
  </si>
  <si>
    <t>INVEST COLLEGIATE CHARTER (BUNCOMBE)</t>
  </si>
  <si>
    <t>PIONEER SPRINGS COMMUNITY CHARTER</t>
  </si>
  <si>
    <t>EDGECOMBE COUNTY SCHOOLS</t>
  </si>
  <si>
    <t>WINSTON-SALEM-FORSYTH COUNTY SCHOOLS</t>
  </si>
  <si>
    <t>ARTS BASED ELEMENTARY CHARTER</t>
  </si>
  <si>
    <t>FRANKLIN COUNTY SCHOOLS</t>
  </si>
  <si>
    <t>A CHILDS GARDEN CHARTER (AKA CROSS CREEK CHARTER)</t>
  </si>
  <si>
    <t>GASTON COUNTY SCHOOLS</t>
  </si>
  <si>
    <t>GATES COUNTY SCHOOLS</t>
  </si>
  <si>
    <t>GRAHAM COUNTY SCHOOLS</t>
  </si>
  <si>
    <t>GREENE COUNTY SCHOOLS</t>
  </si>
  <si>
    <t>GUILFORD COUNTY SCHOOLS</t>
  </si>
  <si>
    <t>HALIFAX COUNTY SCHOOLS</t>
  </si>
  <si>
    <t>ROANOKE RAPIDS CITY SCHOOLS</t>
  </si>
  <si>
    <t>WELDON CITY SCHOOLS</t>
  </si>
  <si>
    <t>HARNETT COUNTY SCHOOLS</t>
  </si>
  <si>
    <t>HAYWOOD COUNTY SCHOOLS</t>
  </si>
  <si>
    <t>HENDERSON COUNTY SCHOOLS</t>
  </si>
  <si>
    <t>MOUNTAIN COMMUNITY SCHOOL</t>
  </si>
  <si>
    <t>HERTFORD COUNTY SCHOOLS</t>
  </si>
  <si>
    <t>HOKE COUNTY SCHOOLS</t>
  </si>
  <si>
    <t>HYDE COUNTY SCHOOLS</t>
  </si>
  <si>
    <t>SUCCESS INSTITUTE</t>
  </si>
  <si>
    <t>MOORESVILLE CITY SCHOOLS</t>
  </si>
  <si>
    <t>JACKSON COUNTY SCHOOLS</t>
  </si>
  <si>
    <t>JOHNSTON COUNTY SCHOOLS</t>
  </si>
  <si>
    <t>NEUSE CHARTER SCHOOL</t>
  </si>
  <si>
    <t>JONES COUNTY SCHOOLS</t>
  </si>
  <si>
    <t>LENOIR COUNTY SCHOOLS</t>
  </si>
  <si>
    <t>CHILDRENS VILLAGE ACADEMY</t>
  </si>
  <si>
    <t>LINCOLN COUNTY SCHOOLS</t>
  </si>
  <si>
    <t>MACON COUNTY SCHOOLS</t>
  </si>
  <si>
    <t>MADISON COUNTY SCHOOLS</t>
  </si>
  <si>
    <t>MARTIN COUNTY SCHOOLS</t>
  </si>
  <si>
    <t>MCDOWELL COUNTY SCHOOLS</t>
  </si>
  <si>
    <t>CHARLOTTE-MECKLENBURG COUNTY SCHOOLS</t>
  </si>
  <si>
    <t>COMMUNITY SCHOOL OF DAVIDSON</t>
  </si>
  <si>
    <t>LAKE NORMAN CHARTER SCHOOL</t>
  </si>
  <si>
    <t>SOCRATES ACADEMY</t>
  </si>
  <si>
    <t>PINE LAKE PREP CHARTER</t>
  </si>
  <si>
    <t>CHARLOTTE SECONDARY CHARTER</t>
  </si>
  <si>
    <t>MITCHELL COUNTY SCHOOLS</t>
  </si>
  <si>
    <t>KIPP CHARLOTTE CHARTER</t>
  </si>
  <si>
    <t>MONTGOMERY COUNTY SCHOOLS</t>
  </si>
  <si>
    <t>MOORE COUNTY SCHOOLS</t>
  </si>
  <si>
    <t>ACADEMY OF MOORE COUNTY</t>
  </si>
  <si>
    <t>STARS CHARTER SCHOOL</t>
  </si>
  <si>
    <t>NASH-ROCKY MOUNT SCHOOLS</t>
  </si>
  <si>
    <t>NEW HANOVER COUNTY SCHOOLS</t>
  </si>
  <si>
    <t>WILMINGTON PREP ACADEMY</t>
  </si>
  <si>
    <t>NORTHAMPTON COUNTY SCHOOLS</t>
  </si>
  <si>
    <t>GASTON COLLEGE PREPARATORY CHARTER</t>
  </si>
  <si>
    <t>ONSLOW COUNTY SCHOOLS</t>
  </si>
  <si>
    <t>ZECA SCHOOL OF THE ARTS AND TECHNOLOGY</t>
  </si>
  <si>
    <t>ORANGE COUNTY SCHOOLS</t>
  </si>
  <si>
    <t>ORANGE CHARTER SCHOOL</t>
  </si>
  <si>
    <t>PAMLICO COUNTY SCHOOLS</t>
  </si>
  <si>
    <t>ARAPAHOE CHARTER SCHOOL</t>
  </si>
  <si>
    <t>ELIZABETH CITY AND PASQUOTANK COUNTY SCHOOLS</t>
  </si>
  <si>
    <t>PENDER COUNTY SCHOOLS</t>
  </si>
  <si>
    <t>PERQUIMANS COUNTY SCHOOLS</t>
  </si>
  <si>
    <t>PERSON COUNTY SCHOOLS</t>
  </si>
  <si>
    <t>ROXBORO COMMUNITY SCHOOL</t>
  </si>
  <si>
    <t>PITT COUNTY SCHOOLS</t>
  </si>
  <si>
    <t>POLK COUNTY SCHOOLS</t>
  </si>
  <si>
    <t>RANDOLPH COUNTY SCHOOLS</t>
  </si>
  <si>
    <t>UWHARRIE CHARTER ACADEMY</t>
  </si>
  <si>
    <t>ASHEBORO CITY SCHOOLS</t>
  </si>
  <si>
    <t>RICHMOND COUNTY SCHOOLS</t>
  </si>
  <si>
    <t>ROBESON COUNTY SCHOOLS</t>
  </si>
  <si>
    <t>SOUTHEASTERN ACADEMY CHARTER SCHOOL</t>
  </si>
  <si>
    <t>ROCKINGHAM COUNTY SCHOOLS</t>
  </si>
  <si>
    <t>BETHANY COMMUNITY MIDDLE SCHOOL</t>
  </si>
  <si>
    <t>ROWAN-SALISBURY SCHOOL SYSTEM</t>
  </si>
  <si>
    <t>RUTHERFORD COUNTY SCHOOLS</t>
  </si>
  <si>
    <t>SAMPSON COUNTY SCHOOLS</t>
  </si>
  <si>
    <t>CLINTON CITY SCHOOLS</t>
  </si>
  <si>
    <t>SCOTLAND COUNTY SCHOOLS</t>
  </si>
  <si>
    <t>STANLY COUNTY SCHOOLS</t>
  </si>
  <si>
    <t>GRAY STONE DAY SCHOOL</t>
  </si>
  <si>
    <t>STOKES COUNTY SCHOOLS</t>
  </si>
  <si>
    <t>SURRY COUNTY SCHOOLS</t>
  </si>
  <si>
    <t>BRIDGES CHARTER SCHOOLS</t>
  </si>
  <si>
    <t>MILLENNIUM CHARTER ACADEMY</t>
  </si>
  <si>
    <t>MOUNT AIRY CITY SCHOOLS</t>
  </si>
  <si>
    <t>ELKIN CITY SCHOOLS</t>
  </si>
  <si>
    <t>SWAIN COUNTY SCHOOLS</t>
  </si>
  <si>
    <t>TRANSYLVANIA COUNTY SCHOOLS</t>
  </si>
  <si>
    <t>BREVARD ACADEMY CHARTER SCHOOL</t>
  </si>
  <si>
    <t>TYRRELL COUNTY SCHOOLS</t>
  </si>
  <si>
    <t>UNION COUNTY SCHOOLS</t>
  </si>
  <si>
    <t>VANCE COUNTY SCHOOLS</t>
  </si>
  <si>
    <t>VANCE CHARTER SCHOOL</t>
  </si>
  <si>
    <t>ENDEAVOR CHARTER SCHOOL</t>
  </si>
  <si>
    <t>SOUTHERN WAKE ACADEMY</t>
  </si>
  <si>
    <t>CASA ESPERANZA MONTESSORI</t>
  </si>
  <si>
    <t>WARREN COUNTY SCHOOLS</t>
  </si>
  <si>
    <t>HALIWA-SAPONI TRIBAL CHARTER</t>
  </si>
  <si>
    <t>WASHINGTON COUNTY SCHOOLS</t>
  </si>
  <si>
    <t>HENDERSON COLLEGIATE CHARTER SCHOOL</t>
  </si>
  <si>
    <t>WATAUGA COUNTY SCHOOLS</t>
  </si>
  <si>
    <t>WAYNE COUNTY SCHOOLS</t>
  </si>
  <si>
    <t>WILKES COUNTY SCHOOLS</t>
  </si>
  <si>
    <t>PINNACLE CLASSICAL ACADEMY</t>
  </si>
  <si>
    <t>WILSON COUNTY SCHOOLS</t>
  </si>
  <si>
    <t>YADKIN COUNTY SCHOOLS</t>
  </si>
  <si>
    <t>CONSOLIDATED JUDICIAL RETIREMENT SYSTEM</t>
  </si>
  <si>
    <t>BLADEN COUNTY</t>
  </si>
  <si>
    <t>TOWN OF SUNSET BEACH</t>
  </si>
  <si>
    <t>TOWN OF BILTMORE FOREST</t>
  </si>
  <si>
    <t>TOWN OF BLACK MOUNTAIN</t>
  </si>
  <si>
    <t>RUTHERFORD COUNTY</t>
  </si>
  <si>
    <t>TOWN OF FOREST CITY</t>
  </si>
  <si>
    <t>TOWN OF LAKE LURE</t>
  </si>
  <si>
    <t>WASHINGTON COUNTY</t>
  </si>
  <si>
    <t>TOWN OF BLOWING ROCK</t>
  </si>
  <si>
    <t>TOWN OF BLACK CREEK</t>
  </si>
  <si>
    <t>Reporting year 2024</t>
  </si>
  <si>
    <t>Reporting year 2025</t>
  </si>
  <si>
    <t>INVEST COLLEGIATE CHARTER (DAVIDSON)</t>
  </si>
  <si>
    <t>NORTH CAROLINA INNOVATIVE SCHOOL DISTRICT</t>
  </si>
  <si>
    <t>UNC-SO ONLY</t>
  </si>
  <si>
    <t>OFFICE OF STATE AUDITOR</t>
  </si>
  <si>
    <t>OFFICE OF ADMINISTRATIVE HEARINGS</t>
  </si>
  <si>
    <t>OFFICE OF STATE BUDGET AND MANAGEMENT</t>
  </si>
  <si>
    <t>DEPARTMENT OF INFORMATION TECHNOLOGY</t>
  </si>
  <si>
    <t>NC SCHOOL OF SCIENCE AND MATHEMATICS</t>
  </si>
  <si>
    <t>NC DEPARTMENT OF MILITARY AND VETERANS AFFAIRS</t>
  </si>
  <si>
    <t>DEPARTMENT OF ENVIRONMENTAL QUALITY</t>
  </si>
  <si>
    <t>HOUSING FINANCE AGENCY OF NORTH CAROLINA</t>
  </si>
  <si>
    <t>OFFICE OF GOVERNOR</t>
  </si>
  <si>
    <t>OFFICE OF LIEUTENANT GOVERNOR</t>
  </si>
  <si>
    <t>DEPARTMENT OF HEALTH AND HUMAN SERVICES</t>
  </si>
  <si>
    <t>DEPARTMENT OF INSURANCE</t>
  </si>
  <si>
    <t>DEPARTMENT OF LABOR</t>
  </si>
  <si>
    <t>DEPARTMENT OF REVENUE</t>
  </si>
  <si>
    <t>DEPARTMENT OF SECRETARY OF STATE</t>
  </si>
  <si>
    <t>DEPARTMENT OF STATE TREASURER (w/o State Health Plan)</t>
  </si>
  <si>
    <t>DEPARTMENT OF STATE TREASURER (State Health Plan Only)</t>
  </si>
  <si>
    <t>DEPARTMENT OF AGRICULTURE AND CONSUMER SERVICES</t>
  </si>
  <si>
    <t>STATE BOARD OF BARBER EXAMINERS</t>
  </si>
  <si>
    <t>NC REAL ESTATE COMMISSION</t>
  </si>
  <si>
    <t>NC AUCTIONEERS LICENSING BOARD</t>
  </si>
  <si>
    <t>NC STATE BOARD OF EXAMINERS OF PRACTICING PSYCHOLOGISTS</t>
  </si>
  <si>
    <t>COMMUNITY COLLEGE SYSTEM OFFICE</t>
  </si>
  <si>
    <t>NORTH CAROLINA SCHOOL OF THE ARTS</t>
  </si>
  <si>
    <t>NORTH CAROLINA A&amp;T UNIVERSITY</t>
  </si>
  <si>
    <t>NORTH CAROLINA CENTRAL UNIVERSITY</t>
  </si>
  <si>
    <t>UNIVERSITY OF NORTH CAROLINA AT PEMBROKE</t>
  </si>
  <si>
    <t>NC STATE UNIVERSITY</t>
  </si>
  <si>
    <t>FRANCINE DELANY NEW SCHOOL FOR CHILDREN</t>
  </si>
  <si>
    <t>WESTERN PIEDMONT COMMUNITY COLLEGE</t>
  </si>
  <si>
    <t>NEW BERN/CRAVEN COUNTY BOARD OF EDUCATION</t>
  </si>
  <si>
    <t>NORTHEAST REGIONAL SCHOOL FOR BIOTECHNOLOGY</t>
  </si>
  <si>
    <t>CENTRAL PARK SCHOOL FOR CHILDREN</t>
  </si>
  <si>
    <t>KIPP HALIFAX COLLEGE PREP CHARTER</t>
  </si>
  <si>
    <t>GRANVILLE COUNTY SCHOOLS AND OXFORD ORPHANAGE</t>
  </si>
  <si>
    <t>IREDELL COUNTY SCHOOLS</t>
  </si>
  <si>
    <t>AMERICAN RENAISSANCE MIDDLE SCHOOL</t>
  </si>
  <si>
    <t>SANFORD-LEE COUNTY BOARD OF EDUCATION</t>
  </si>
  <si>
    <t>COMMUNITY CHARTER SCHOOL</t>
  </si>
  <si>
    <t>KENNEDY CHARTER</t>
  </si>
  <si>
    <t>CORVIAN COMMUNITY SCHOOL</t>
  </si>
  <si>
    <t>CAPE FEAR CENTER FOR INQUIRY</t>
  </si>
  <si>
    <t>CHAPEL HILL - CARBORO CITY SCHOOLS</t>
  </si>
  <si>
    <t>N.E. ACADEMY OF AEROSPACE &amp; ADVANCED TECHNOLOGY</t>
  </si>
  <si>
    <t>MOUNTAIN DISCOVERY CHARTER</t>
  </si>
  <si>
    <t>WAKE COUNTY SCHOOLS</t>
  </si>
  <si>
    <t>EAST WAKE ACADEMY</t>
  </si>
  <si>
    <t>TWO RIVERS COMMUNITY SCHOOL</t>
  </si>
  <si>
    <t>HIGHWAY - ADMINISTRATIVE (w/o Global Transpark or Ports Authority)</t>
  </si>
  <si>
    <t>HIGHWAY - ADMINISTRATIVE (Global Transpark Only)</t>
  </si>
  <si>
    <t>LEGISLATIVE RETIREMENT SYSTEM</t>
  </si>
  <si>
    <t>RUTHERFORD POLK MCDOWELL DIST BOARD OF HEALTH</t>
  </si>
  <si>
    <t>Reporting year 2026</t>
  </si>
  <si>
    <t>UNC-GENERAL ADMINISTRATION (W/O SEAA)</t>
  </si>
  <si>
    <t>UNC-GENERAL ADMINISTRATION (SEAA ONLY)</t>
  </si>
  <si>
    <t>DISCOVERY CHARTER</t>
  </si>
  <si>
    <t>HIGHWAY - ADMINISTRATIVE (PORTS AUTHORITY ONLY)</t>
  </si>
  <si>
    <t>Noncapital contributions</t>
  </si>
  <si>
    <t>Noncapital contr allocaion (SHP trsf to RHBF)</t>
  </si>
  <si>
    <t>(g)</t>
  </si>
  <si>
    <t>Nonemployer contribution from SHP to RHBF</t>
  </si>
  <si>
    <t>Miscellaneous expense (1)</t>
  </si>
  <si>
    <t>Miscellaneous income (1)</t>
  </si>
  <si>
    <t>Noncapital contribution (2)</t>
  </si>
  <si>
    <t>differences due to how the extra contr amounts were allocated between the UNC SO and SEAA but net between the two agencies</t>
  </si>
  <si>
    <t>FY2022 employer contributions – per agency/institution</t>
  </si>
  <si>
    <r>
      <rPr>
        <b/>
        <sz val="10"/>
        <rFont val="Arial"/>
        <family val="2"/>
      </rPr>
      <t>(2)  Nonemployer Contribution</t>
    </r>
    <r>
      <rPr>
        <sz val="10"/>
        <rFont val="Arial"/>
        <family val="2"/>
      </rPr>
      <t xml:space="preserve"> - In FY2021, the SHP transferred $187 million to the RHBF as a result of cost savings to the SHP.  Per GASB 92, paragraph 6.a. the transfer of capital or financial assets between a nonemployer contribution entity and a defined benefit OPEB plan within the same financial reporting entity , any diference between the amount paid and carrying value of the assets transferred should be reported as a nonemployer contributing entity contribution to the plan in accordance with requirements of GASB 75.  Per GASB 75, paragraph 69, revenue should be recognized in an amount equal to (a) the change in the collective liability arising from contributions to the plan from nonemployer contributing entites and (b) the employer's proportionate share of the change in the collective liability arising from contributions to the plan.   The SHP has authority to move funds pursuant to G.S. 135-48.5.  </t>
    </r>
  </si>
  <si>
    <t>6/30/2021 Deferred Outflows of Resources</t>
  </si>
  <si>
    <t>6/30/2021 Deferred Inflows of Resources</t>
  </si>
  <si>
    <t>6/30/2021 Net OPEB Liability</t>
  </si>
  <si>
    <t>OFFICE OF STATE CONTROLLER</t>
  </si>
  <si>
    <t>UNC-CHAPEL HILL CB1260</t>
  </si>
  <si>
    <t>ALAMANCE COMMUNITY SCHOOL</t>
  </si>
  <si>
    <t>FERNLEAF COMMUNITY CHARTER</t>
  </si>
  <si>
    <t>Reporting year 2027</t>
  </si>
  <si>
    <t>TOTAL</t>
  </si>
  <si>
    <t>rounding</t>
  </si>
  <si>
    <t xml:space="preserve">In FY2021, the SHP transferred $187 million to the RHBF as a result of cost savings to the SHP over a span of six years.  Per GASB 92, paragraph 6.a. the transfer of capital or financial assets between a nonemployer contribution entity and a defined benefit OPEB plan within the same financial reporting entity , any diference between the amount paid and carrying value of the assets transferred should be reported as a nonemployer contributing entity contribution to the plan in accordance with requirements of GASB 75.  Per GASB 75, paragraph 69, revenue should be recognized in an amount equal to (a) the change in the collective liability arising from contributions to the plan from nonemployer contributing entites and (b) the employer's proportionate share of the change in the collective liability arising from contributions to the plan.   The SHP has authority to move funds pursuant to G.S. 135-48.5.  </t>
  </si>
  <si>
    <t>2022 Allocation Percentage</t>
  </si>
  <si>
    <t>6/30/2022 Net OPEB Liability</t>
  </si>
  <si>
    <t>6/30/2022 Deferred Outflows of Resources</t>
  </si>
  <si>
    <t>6/30/2022 Deferred Inflows of Resources</t>
  </si>
  <si>
    <t>Fiscal Year Ended June 30, 2023</t>
  </si>
  <si>
    <t>FY2022 employer contributions – per actuary</t>
  </si>
  <si>
    <t>Last Year's MANUAL ENTRY - FY2022 Employer Contributions</t>
  </si>
  <si>
    <t>Difference in FY2022 contributions per employer/actuary</t>
  </si>
  <si>
    <t>(To adjust for difference in FY2022 contributions per employer/actuary)</t>
  </si>
  <si>
    <t>FY2023 employer contributions – per agency/institution</t>
  </si>
  <si>
    <t>Deferred outflows for OPEB (FY2023 Employer Contributions)</t>
  </si>
  <si>
    <t>by 6.89% (the 2022-23 employer contribution rate for RHBF)</t>
  </si>
  <si>
    <r>
      <rPr>
        <b/>
        <sz val="10"/>
        <rFont val="Arial"/>
        <family val="2"/>
      </rPr>
      <t>(1)  Difference in Contributions Between Employer/Actuary</t>
    </r>
    <r>
      <rPr>
        <sz val="10"/>
        <rFont val="Arial"/>
        <family val="2"/>
      </rPr>
      <t xml:space="preserve"> – The difference between what your entity reported last year as your FY 2022 employer contributions (i.e., as a deferred outflow for OPEB) and the amount reported by the actuary (per this template) should be evaluated for materiality (see "Detail" tab, Entry 1). If this difference is material, the 13th period entry above should be modified. The template assumes the difference is immaterial and adjusts the beginning deferred outflow balance to the actuarial amount with an offset to current year miscellaneous expense (income). However, if the difference is material, the entry should be modified to reflect the offset as a restatement of beginning net position. </t>
    </r>
  </si>
  <si>
    <t>June 30, 2024:</t>
  </si>
  <si>
    <t>Balance July 1, 2022</t>
  </si>
  <si>
    <t>Balance, June 30, 2023</t>
  </si>
  <si>
    <t>Reporting year 2028</t>
  </si>
  <si>
    <t>https://files.nc.gov/nc-auditor/documents/2023-03/FIN-2022-3400-RHBF.pdf</t>
  </si>
  <si>
    <t>GoTo "Detail" Tab — Enter Employer Contributions (FY2022 &amp; FY2023).</t>
  </si>
  <si>
    <t>STATE AUDITOR</t>
  </si>
  <si>
    <t>OFFICE OF ADMINISTRATIVE HEARING</t>
  </si>
  <si>
    <t>OFFICE OF STATE BUDGET &amp; MANAGEMENT</t>
  </si>
  <si>
    <t>INFORMATION TECHNOLOGY SERVICES</t>
  </si>
  <si>
    <t>NC DEPARTMENT OF MILITARY &amp; VETERANS AFFAIRS</t>
  </si>
  <si>
    <t>NC DEPT OF ENVIRONMENTAL QUALITY</t>
  </si>
  <si>
    <t>GOVERNOR'S OFFICE</t>
  </si>
  <si>
    <t>LT GOVERNOR'S OFFICE</t>
  </si>
  <si>
    <t>HEALTH AND HUMAN SVCS</t>
  </si>
  <si>
    <t>INSURANCE DEPARTMENT</t>
  </si>
  <si>
    <t>LABOR DEPARTMENT</t>
  </si>
  <si>
    <t>REVENUE DEPARTMENT</t>
  </si>
  <si>
    <t>SECRETARY OF STATE</t>
  </si>
  <si>
    <t>STATE TREASURER</t>
  </si>
  <si>
    <t>DEPT OF AGRICULTURE &amp; CONSUMER SVCS.</t>
  </si>
  <si>
    <t>BARBER EXAMINERS, STATE BOARD OF</t>
  </si>
  <si>
    <t>N C AUCTIONEERS LICENSING BOARD</t>
  </si>
  <si>
    <t>NC BRD OF EXAMINERS OF PRACTICING PSYCOLOGISTS</t>
  </si>
  <si>
    <t>COMMUNITY COLLEGES ADMINISTRATION</t>
  </si>
  <si>
    <t>UNC-SYSTEM OFFICE</t>
  </si>
  <si>
    <t>SEAA</t>
  </si>
  <si>
    <t>F DELANY NEW SCHOOL FOR CHILDREN</t>
  </si>
  <si>
    <t>CLEVELAND COMMUNITY COLLEGE</t>
  </si>
  <si>
    <t>NEW BERN CRAVEN COUNTY BOARD OF EDUCATION</t>
  </si>
  <si>
    <t>DAVIDSON-DAVIE COMMUNITY COLLEGE</t>
  </si>
  <si>
    <t>N.E. REGIONAL SCHOOL FOR BIOTECHNOLOGY</t>
  </si>
  <si>
    <t>CENTRAL PARK SCH FOR CHILDREN</t>
  </si>
  <si>
    <t>FORSYTH TECHNICAL COMMUNIITY COLLEGE</t>
  </si>
  <si>
    <t>GRANVILLE COUNTY PUBLIC SCHOOLS</t>
  </si>
  <si>
    <t>IREDELL-STATESVILLE SCHOOLS</t>
  </si>
  <si>
    <t>AMERICAN RENAISSANCE MID SCHOOL</t>
  </si>
  <si>
    <t>LEE COUNTY BOARD OF EDUCATION</t>
  </si>
  <si>
    <t>CORVIAN COMMUNITY CHARTER SCHOOL</t>
  </si>
  <si>
    <t>NASH COUNTY PUBLIC SCHOOLS</t>
  </si>
  <si>
    <t>NASH COMMUNITY COLLEGE</t>
  </si>
  <si>
    <t>CAPE FEAR CTR FOR INQUIRY</t>
  </si>
  <si>
    <t>CHAPEL HILL - CARRBORO CITY SCHOOLS</t>
  </si>
  <si>
    <t>N.E. ACADEMY OF AEROSPACE &amp; ADV.TECH</t>
  </si>
  <si>
    <t>MTN DISCOVERY CHARTER</t>
  </si>
  <si>
    <t>WAKE COUNTY PUBLIC SCHOOLS SYSTEM</t>
  </si>
  <si>
    <t>EAST WAKE FIRST ACADEMY</t>
  </si>
  <si>
    <t>TWO RIVERS COMM SCHOOL</t>
  </si>
  <si>
    <t>HIGHWAY - ADMINISTRATIVE</t>
  </si>
  <si>
    <t>GLOBAL TRANSPARK</t>
  </si>
  <si>
    <t>PORTS AUTHORITY</t>
  </si>
  <si>
    <t>LEGISLATIVE RETIREMENT SYSTEM OF N C</t>
  </si>
  <si>
    <t>FOOTHILLS HEALTH DISTRICT</t>
  </si>
  <si>
    <t>North Carolina Education Lottery</t>
  </si>
  <si>
    <t>Department Of Justice</t>
  </si>
  <si>
    <t>State Auditor</t>
  </si>
  <si>
    <t>Department Of Cultural Resources</t>
  </si>
  <si>
    <t>Administrative Office Of The Courts</t>
  </si>
  <si>
    <t>Office Of Administrative Hearing</t>
  </si>
  <si>
    <t>Department Of Administration</t>
  </si>
  <si>
    <t>Office Of State Budget &amp; Management</t>
  </si>
  <si>
    <t>Information Technology Services</t>
  </si>
  <si>
    <t>Office Of State Controller</t>
  </si>
  <si>
    <t>N.C. School Of Science &amp; Mathematics</t>
  </si>
  <si>
    <t>North Carolina Department of Military &amp; Veteran Affairs</t>
  </si>
  <si>
    <t>Environment And Natural Resources</t>
  </si>
  <si>
    <t>N.C. Housing Finance Agency</t>
  </si>
  <si>
    <t>Wildlife Resources Commission</t>
  </si>
  <si>
    <t>State Board Of Elections</t>
  </si>
  <si>
    <t>Governor's Office</t>
  </si>
  <si>
    <t>Lt. Governor's Office</t>
  </si>
  <si>
    <t>General Assembly</t>
  </si>
  <si>
    <t>Health &amp; Human Services</t>
  </si>
  <si>
    <t>Department Of Commerce</t>
  </si>
  <si>
    <t>Insurance Department</t>
  </si>
  <si>
    <t>Labor Department</t>
  </si>
  <si>
    <t>Revenue Department</t>
  </si>
  <si>
    <t>Secretary Of State</t>
  </si>
  <si>
    <t>State Treasurer</t>
  </si>
  <si>
    <t>State Health Plan (subset of Department of Treasurer)</t>
  </si>
  <si>
    <t>Department Of Agriculture</t>
  </si>
  <si>
    <t>Barber Examiners, State Board Of</t>
  </si>
  <si>
    <t>North Carolina Board of Opticians</t>
  </si>
  <si>
    <t>N.C. Real Estate Commission</t>
  </si>
  <si>
    <t>N.C. Auctioneers Licensing Board</t>
  </si>
  <si>
    <t>N.C. State Board Of Examiners Of Practicing Psychol</t>
  </si>
  <si>
    <t>Community Colleges Administration</t>
  </si>
  <si>
    <t>Department Of Public Safety</t>
  </si>
  <si>
    <t>Appalachian State University</t>
  </si>
  <si>
    <t>N.C. School Of The Arts</t>
  </si>
  <si>
    <t>East Carolina University</t>
  </si>
  <si>
    <t>Elizabeth City State University</t>
  </si>
  <si>
    <t>Fayetteville State University</t>
  </si>
  <si>
    <t>N.C. A&amp;T University</t>
  </si>
  <si>
    <t>N.C. Central University</t>
  </si>
  <si>
    <t>University Of North Carolina At Greensboro</t>
  </si>
  <si>
    <t>UNC - Pembroke</t>
  </si>
  <si>
    <t>N.C. State University</t>
  </si>
  <si>
    <t>UNC-General Administration</t>
  </si>
  <si>
    <t>State Education Assistance Authority (subset of UNC Gen. Adm.)</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</si>
  <si>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</si>
  <si>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</si>
  <si>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</si>
  <si>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</si>
  <si>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</si>
  <si>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</si>
  <si>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</si>
  <si>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</si>
  <si>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</si>
  <si>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</si>
  <si>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</si>
  <si>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</si>
  <si>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</si>
  <si>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</si>
  <si>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</si>
  <si>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</si>
  <si>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</si>
  <si>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</si>
  <si>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</si>
  <si>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</si>
  <si>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</si>
  <si>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</si>
  <si>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</si>
  <si>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</si>
  <si>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</si>
  <si>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</si>
  <si>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</si>
  <si>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</si>
  <si>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</si>
  <si>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</si>
  <si>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</si>
  <si>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</si>
  <si>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</si>
  <si>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</si>
  <si>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Community College</t>
  </si>
  <si>
    <t>Cabarrus County Schools</t>
  </si>
  <si>
    <t>Carolina International School</t>
  </si>
  <si>
    <t>Kannapolis City Schools</t>
  </si>
  <si>
    <t>Caldwell County Schools</t>
  </si>
  <si>
    <t>Caldwell Community College</t>
  </si>
  <si>
    <t>Camden County Schools</t>
  </si>
  <si>
    <t>Carteret County Schools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</si>
  <si>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</si>
  <si>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</si>
  <si>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</si>
  <si>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</si>
  <si>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</si>
  <si>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</si>
  <si>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</si>
  <si>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</si>
  <si>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</si>
  <si>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</si>
  <si>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</si>
  <si>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</si>
  <si>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Cleveland Technical College</t>
  </si>
  <si>
    <t>Columbus County Schools</t>
  </si>
  <si>
    <t>Southeastern Community College</t>
  </si>
  <si>
    <t>Whiteville City Schools</t>
  </si>
  <si>
    <t>New Bern/Craven County Board Of Education</t>
  </si>
  <si>
    <t>Craven Community College</t>
  </si>
  <si>
    <t>Cumberland County Schools</t>
  </si>
  <si>
    <t>Fayetteville Technical Community College</t>
  </si>
  <si>
    <t>Currituck County Schools</t>
  </si>
  <si>
    <t>Dare County Schools</t>
  </si>
  <si>
    <t>Davidson County Schools</t>
  </si>
  <si>
    <t>Invest Collegiate Charter School</t>
  </si>
  <si>
    <t>Discovery Charter</t>
  </si>
  <si>
    <t>Davidson County Community College</t>
  </si>
  <si>
    <t>Lexington City Schools</t>
  </si>
  <si>
    <t>Alamance Community School</t>
  </si>
  <si>
    <t>Thomasville City Schools</t>
  </si>
  <si>
    <t>Davie County Schools</t>
  </si>
  <si>
    <t>N.E. Regional School For Biotechnology</t>
  </si>
  <si>
    <t>Cornerstone Academy</t>
  </si>
  <si>
    <t>Duplin County Schools</t>
  </si>
  <si>
    <t>James Sprunt Technical College</t>
  </si>
  <si>
    <t>Durham Public Schools</t>
  </si>
  <si>
    <t>Central Park School For Children</t>
  </si>
  <si>
    <t>Healthy Start Academy</t>
  </si>
  <si>
    <t>Voyager Academy</t>
  </si>
  <si>
    <t>Durham Technical Institute</t>
  </si>
  <si>
    <t>Bear Grass Charter School</t>
  </si>
  <si>
    <t>Invest Collegiate Charter (Buncombe)</t>
  </si>
  <si>
    <t>Kipp Halifax College Prep Charter</t>
  </si>
  <si>
    <t>Pioneer Springs Community Charter</t>
  </si>
  <si>
    <t>Edgecombe County Schools</t>
  </si>
  <si>
    <t>Edgecombe Technical College</t>
  </si>
  <si>
    <t>Winston-Salem-Forsyth County Schools</t>
  </si>
  <si>
    <t>Arts Based Elementary Charter</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</si>
  <si>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</si>
  <si>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</si>
  <si>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</si>
  <si>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</si>
  <si>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</si>
  <si>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</si>
  <si>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</si>
  <si>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</si>
  <si>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</si>
  <si>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</si>
  <si>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</si>
  <si>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</si>
  <si>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</si>
  <si>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</si>
  <si>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</si>
  <si>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</si>
  <si>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</si>
  <si>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</si>
  <si>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</si>
  <si>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</si>
  <si>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</si>
  <si>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</si>
  <si>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</si>
  <si>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</si>
  <si>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</si>
  <si>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Iredell County Schools</t>
  </si>
  <si>
    <t>American Renaissance Middle School</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</si>
  <si>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</si>
  <si>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</si>
  <si>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</si>
  <si>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</si>
  <si>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</si>
  <si>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</si>
  <si>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</si>
  <si>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</si>
  <si>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</si>
  <si>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</si>
  <si>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</si>
  <si>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</si>
  <si>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</si>
  <si>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</si>
  <si>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</si>
  <si>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</si>
  <si>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</si>
  <si>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</si>
  <si>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</si>
  <si>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</si>
  <si>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</si>
  <si>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</si>
  <si>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</si>
  <si>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Kennedy Charter</t>
  </si>
  <si>
    <t>Community School Of Davidson</t>
  </si>
  <si>
    <t>Corvian Community School</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</si>
  <si>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</si>
  <si>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</si>
  <si>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</si>
  <si>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</si>
  <si>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</si>
  <si>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</si>
  <si>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</si>
  <si>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</si>
  <si>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</si>
  <si>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</si>
  <si>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</si>
  <si>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</si>
  <si>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</si>
  <si>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North Carolina Leadership Academy</t>
  </si>
  <si>
    <t>Sandhills Community College</t>
  </si>
  <si>
    <t>Fernleaf Community Charter</t>
  </si>
  <si>
    <t>Nash-Rocky Mount Schools</t>
  </si>
  <si>
    <t>Nash Technical College</t>
  </si>
  <si>
    <t>New Hanover County Schools</t>
  </si>
  <si>
    <t>Cape Fear Center For Inquiry</t>
  </si>
  <si>
    <t>Wilmington Preparatory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</si>
  <si>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</si>
  <si>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</si>
  <si>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</si>
  <si>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</si>
  <si>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</si>
  <si>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</si>
  <si>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</si>
  <si>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Orange Charter School</t>
  </si>
  <si>
    <t>Chapel Hill - Carboro City Schools</t>
  </si>
  <si>
    <t>Pamlico County Schools</t>
  </si>
  <si>
    <t>Arapahoe Charter School</t>
  </si>
  <si>
    <t>Pamlico Community College</t>
  </si>
  <si>
    <t>Elizabeth City And Pasquotank County Schools</t>
  </si>
  <si>
    <t>Northeast Academy for Aerospace and Advanced Technologies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</si>
  <si>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</si>
  <si>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</si>
  <si>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</si>
  <si>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</si>
  <si>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</si>
  <si>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</si>
  <si>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</si>
  <si>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</si>
  <si>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</si>
  <si>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</si>
  <si>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</si>
  <si>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</si>
  <si>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</si>
  <si>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</si>
  <si>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</si>
  <si>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</si>
  <si>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</si>
  <si>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</si>
  <si>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</si>
  <si>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</si>
  <si>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</si>
  <si>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</si>
  <si>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</si>
  <si>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</si>
  <si>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</si>
  <si>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</si>
  <si>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</si>
  <si>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</si>
  <si>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</si>
  <si>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</si>
  <si>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</si>
  <si>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</si>
  <si>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</si>
  <si>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</si>
  <si>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</si>
  <si>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</si>
  <si>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</si>
  <si>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</si>
  <si>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</si>
  <si>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</si>
  <si>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Mountain Discovery Charter</t>
  </si>
  <si>
    <t>Transylvania County Schools</t>
  </si>
  <si>
    <t>Brevard Academy Charter School</t>
  </si>
  <si>
    <t>Tyrrell County Schools</t>
  </si>
  <si>
    <t>Union County Schools</t>
  </si>
  <si>
    <t>Vance County Schools</t>
  </si>
  <si>
    <t>Vance Charter School</t>
  </si>
  <si>
    <t>Vance-Granville Community College</t>
  </si>
  <si>
    <t>Wake County Schools</t>
  </si>
  <si>
    <t>Endeavor Charter School</t>
  </si>
  <si>
    <t>Southern Wake Academy</t>
  </si>
  <si>
    <t>Wake Technical College</t>
  </si>
  <si>
    <t>East Wake Academy</t>
  </si>
  <si>
    <t>Casa Esperanza Montessori</t>
  </si>
  <si>
    <t>North Carolina Innovative School District</t>
  </si>
  <si>
    <t>Warren County Schools</t>
  </si>
  <si>
    <t>Haliwa-Saponi Tribal Charter</t>
  </si>
  <si>
    <t>Washington County Schools</t>
  </si>
  <si>
    <t>Henderson Collegiate Charter School</t>
  </si>
  <si>
    <t>Watauga County Schools</t>
  </si>
  <si>
    <t>Two Rivers Community School</t>
  </si>
  <si>
    <t>Wayne County Schools</t>
  </si>
  <si>
    <t>Wayne Community College</t>
  </si>
  <si>
    <t>Wilkes County Schools</t>
  </si>
  <si>
    <t>Pinnacle Classical Academy</t>
  </si>
  <si>
    <t>Wilkes Community College</t>
  </si>
  <si>
    <t>Wilson County Schools</t>
  </si>
  <si>
    <t>Wilson Community College</t>
  </si>
  <si>
    <t>Yadkin County Schools</t>
  </si>
  <si>
    <t>Consolidated Judicial Retirement System</t>
  </si>
  <si>
    <t>Highway - Administrative</t>
  </si>
  <si>
    <t>NC Global TransPark Authority (subset of DOT)</t>
  </si>
  <si>
    <t>NC State Ports Authority (subset of DOT)</t>
  </si>
  <si>
    <t>Legislative Retirement System</t>
  </si>
  <si>
    <t>Bladen County</t>
  </si>
  <si>
    <t>Town Of Sunset Beach</t>
  </si>
  <si>
    <t>Town Of Biltmore Forest</t>
  </si>
  <si>
    <t>Town Of Black Mountain</t>
  </si>
  <si>
    <t>Rutherford County</t>
  </si>
  <si>
    <t>Rutherford Polk Mcdowell Dist Brd Of Health</t>
  </si>
  <si>
    <t>Town Of Forest City</t>
  </si>
  <si>
    <t>Town Of Lake Lure</t>
  </si>
  <si>
    <t>Washington County</t>
  </si>
  <si>
    <t>Town Of Blowing Rock</t>
  </si>
  <si>
    <t>Town Of Black Creek</t>
  </si>
  <si>
    <t>DEPARTMENT OF STATE TREASURER (W/O STATE HEALTH PLAN)</t>
  </si>
  <si>
    <t>DEPARTMENT OF STATE TREASURER (STATE HEALTH PLAN ONLY)</t>
  </si>
  <si>
    <t>ALAMANCE COMMUNITY SCHOOLS</t>
  </si>
  <si>
    <t>HIGHWAY - ADMINISTRATIVE (Ports Authority Only)</t>
  </si>
  <si>
    <t>Allocation percentages and contribution amounts for FY2022</t>
  </si>
  <si>
    <t>no allocation for FYE2022</t>
  </si>
  <si>
    <t>A</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</si>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</sst>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_(&quot;$&quot;* \(#,##0\);_(&quot;$&quot;* &quot;-&quot;_);_(@_)"/>
    <numFmt numFmtId="41" formatCode="_(* #,##0_);_(* \(#,##0\);_(* &quot;-&quot;_);_(@_)"/>
    <numFmt numFmtId="43" formatCode="_(* #,##0.00_);_(* \(#,##0.00\);_(* &quot;-&quot;??_);_(@_)"/>
    <numFmt numFmtId="164" formatCode="#,##0.00_);\(#,##0.00\);\—\—\—\ \ \ \ "/>
    <numFmt numFmtId="165" formatCode="\(0\)"/>
    <numFmt numFmtId="166" formatCode="#,##0_);\(#,##0\);\—\—\—\ \ \ \ "/>
    <numFmt numFmtId="167" formatCode="#,##0_);\(#,##0\);\—\ \ \ \ "/>
    <numFmt numFmtId="168" formatCode="_(&quot;$&quot;* #,##0_);_(&quot;$&quot;* \(#,##0\);_(&quot;$&quot;* &quot;—&quot;_);_(@_)"/>
    <numFmt numFmtId="169" formatCode="_(* #,##0_);_(* \(#,##0\);_(* &quot;—&quot;_);_(@_)"/>
    <numFmt numFmtId="170" formatCode="0.00000%"/>
    <numFmt numFmtId="171" formatCode="_(* #,##0_);_(* \(#,##0\);_(* &quot;-&quot;??_);_(@_)"/>
    <numFmt numFmtId="172" formatCode="00000"/>
    <numFmt numFmtId="173" formatCode="_(* #,##0_);_(* \(#,##0\);_(* &quot;-&quot;????_);_(@_)"/>
    <numFmt numFmtId="174" formatCode="0.0"/>
    <numFmt numFmtId="175" formatCode="#,##0.0000_);\(#,##0.0000\)"/>
    <numFmt numFmtId="176" formatCode="_(* #,##0.0_);_(* \(#,##0.0\);_(* &quot;-&quot;??_);_(@_)"/>
  </numFmts>
  <fonts count="49" x14ac:knownFonts="1">
    <font>
      <sz val="10"/>
      <name val="Arial"/>
    </font>
    <font>
      <sz val="11"/>
      <color theme="1"/>
      <name val="Calibri"/>
      <family val="2"/>
      <scheme val="minor"/>
    </font>
    <font>
      <b/>
      <u/>
      <sz val="9"/>
      <name val="Arial"/>
      <family val="2"/>
    </font>
    <font>
      <b/>
      <u/>
      <sz val="9"/>
      <name val="Arial Narrow"/>
      <family val="2"/>
    </font>
    <font>
      <sz val="9"/>
      <name val="Arial Narrow"/>
      <family val="2"/>
    </font>
    <font>
      <b/>
      <i/>
      <sz val="9"/>
      <name val="Arial Narrow"/>
      <family val="2"/>
    </font>
    <font>
      <b/>
      <sz val="9"/>
      <name val="Arial Narrow"/>
      <family val="2"/>
    </font>
    <font>
      <b/>
      <i/>
      <u/>
      <sz val="9"/>
      <name val="Arial Narrow"/>
      <family val="2"/>
    </font>
    <font>
      <sz val="9"/>
      <name val="@Batang"/>
      <family val="1"/>
    </font>
    <font>
      <sz val="8"/>
      <name val="Arial"/>
      <family val="2"/>
    </font>
    <font>
      <sz val="12"/>
      <name val="Times New Roman"/>
      <family val="1"/>
    </font>
    <font>
      <sz val="8.25"/>
      <name val="Helv"/>
    </font>
    <font>
      <b/>
      <sz val="10"/>
      <name val="Arial"/>
      <family val="2"/>
    </font>
    <font>
      <sz val="8"/>
      <name val="Arial Narrow"/>
      <family val="2"/>
    </font>
    <font>
      <sz val="10"/>
      <name val="Arial"/>
      <family val="2"/>
    </font>
    <font>
      <u/>
      <sz val="9"/>
      <name val="Arial Narrow"/>
      <family val="2"/>
    </font>
    <font>
      <b/>
      <i/>
      <sz val="9"/>
      <color theme="1"/>
      <name val="Arial Narrow"/>
      <family val="2"/>
    </font>
    <font>
      <sz val="9"/>
      <name val="Arial"/>
      <family val="2"/>
    </font>
    <font>
      <b/>
      <u/>
      <sz val="10"/>
      <name val="Arial"/>
      <family val="2"/>
    </font>
    <font>
      <u/>
      <sz val="10"/>
      <name val="Arial"/>
      <family val="2"/>
    </font>
    <font>
      <i/>
      <sz val="10"/>
      <name val="Arial"/>
      <family val="2"/>
    </font>
    <font>
      <sz val="10"/>
      <color rgb="FF0000FF"/>
      <name val="Arial"/>
      <family val="2"/>
    </font>
    <font>
      <sz val="10"/>
      <name val="Arial"/>
      <family val="2"/>
    </font>
    <font>
      <b/>
      <sz val="11"/>
      <color theme="1"/>
      <name val="Calibri"/>
      <family val="2"/>
      <scheme val="minor"/>
    </font>
    <font>
      <b/>
      <sz val="10"/>
      <color rgb="FF000000"/>
      <name val="Arial"/>
      <family val="2"/>
    </font>
    <font>
      <b/>
      <sz val="11"/>
      <color rgb="FF000000"/>
      <name val="Calibri"/>
      <family val="2"/>
      <scheme val="minor"/>
    </font>
    <font>
      <sz val="11"/>
      <color rgb="FF000000"/>
      <name val="Calibri"/>
      <family val="2"/>
      <scheme val="minor"/>
    </font>
    <font>
      <b/>
      <u/>
      <sz val="9"/>
      <color rgb="FFFF0000"/>
      <name val="Arial Narrow"/>
      <family val="2"/>
    </font>
    <font>
      <i/>
      <u/>
      <sz val="10"/>
      <name val="Arial"/>
      <family val="2"/>
    </font>
    <font>
      <sz val="10"/>
      <color indexed="10"/>
      <name val="Arial"/>
      <family val="2"/>
    </font>
    <font>
      <b/>
      <sz val="10"/>
      <color indexed="10"/>
      <name val="Arial"/>
      <family val="2"/>
    </font>
    <font>
      <b/>
      <sz val="14"/>
      <color rgb="FFFF0000"/>
      <name val="Arial"/>
      <family val="2"/>
    </font>
    <font>
      <b/>
      <sz val="12.5"/>
      <color rgb="FFFF0000"/>
      <name val="Arial"/>
      <family val="2"/>
    </font>
    <font>
      <u/>
      <sz val="10"/>
      <color theme="10"/>
      <name val="Arial"/>
      <family val="2"/>
    </font>
    <font>
      <sz val="10"/>
      <color theme="10"/>
      <name val="Arial"/>
      <family val="2"/>
    </font>
    <font>
      <i/>
      <sz val="9"/>
      <name val="Arial Narrow"/>
      <family val="2"/>
    </font>
    <font>
      <sz val="10"/>
      <color rgb="FFFF0000"/>
      <name val="Arial"/>
      <family val="2"/>
    </font>
    <font>
      <b/>
      <i/>
      <sz val="10"/>
      <name val="Arial"/>
      <family val="2"/>
    </font>
    <font>
      <b/>
      <sz val="9"/>
      <color rgb="FFFF0000"/>
      <name val="Arial Narrow"/>
      <family val="2"/>
    </font>
    <font>
      <b/>
      <sz val="10"/>
      <color rgb="FFFF0000"/>
      <name val="Arial"/>
      <family val="2"/>
    </font>
    <font>
      <sz val="9"/>
      <color indexed="10"/>
      <name val="Arial Narrow"/>
      <family val="2"/>
    </font>
    <font>
      <b/>
      <sz val="10"/>
      <color indexed="10"/>
      <name val="Arial Narrow"/>
      <family val="2"/>
    </font>
    <font>
      <b/>
      <sz val="11"/>
      <name val="Times New Roman"/>
      <family val="1"/>
    </font>
    <font>
      <sz val="12"/>
      <color theme="1"/>
      <name val="Times New Roman"/>
      <family val="1"/>
    </font>
    <font>
      <sz val="11"/>
      <name val="Calibri"/>
      <family val="2"/>
      <scheme val="minor"/>
    </font>
    <font>
      <sz val="10"/>
      <color rgb="FF000000"/>
      <name val="Arial"/>
      <family val="2"/>
    </font>
    <font>
      <sz val="10"/>
      <color theme="1"/>
      <name val="Arial"/>
      <family val="2"/>
    </font>
    <font>
      <sz val="11"/>
      <name val="Arial"/>
      <family val="2"/>
    </font>
    <font>
      <sz val="11"/>
      <color theme="1"/>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B7FFD8"/>
        <bgColor indexed="64"/>
      </patternFill>
    </fill>
    <fill>
      <patternFill patternType="solid">
        <fgColor indexed="4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4" tint="0.39997558519241921"/>
        <bgColor indexed="64"/>
      </patternFill>
    </fill>
  </fills>
  <borders count="22">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bottom style="medium">
        <color auto="1"/>
      </bottom>
      <diagonal/>
    </border>
    <border>
      <left style="hair">
        <color auto="1"/>
      </left>
      <right/>
      <top/>
      <bottom/>
      <diagonal/>
    </border>
    <border>
      <left/>
      <right style="thick">
        <color indexed="64"/>
      </right>
      <top/>
      <bottom/>
      <diagonal/>
    </border>
    <border>
      <left style="hair">
        <color indexed="64"/>
      </left>
      <right/>
      <top/>
      <bottom style="medium">
        <color indexed="64"/>
      </bottom>
      <diagonal/>
    </border>
    <border>
      <left/>
      <right/>
      <top/>
      <bottom style="thin">
        <color theme="1"/>
      </bottom>
      <diagonal/>
    </border>
  </borders>
  <cellStyleXfs count="16">
    <xf numFmtId="0" fontId="0" fillId="0" borderId="0"/>
    <xf numFmtId="0" fontId="11" fillId="0" borderId="0"/>
    <xf numFmtId="43" fontId="22" fillId="0" borderId="0" applyFont="0" applyFill="0" applyBorder="0" applyAlignment="0" applyProtection="0"/>
    <xf numFmtId="9" fontId="22"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39" fontId="14" fillId="0" borderId="0"/>
    <xf numFmtId="9" fontId="1" fillId="0" borderId="0" applyFont="0" applyFill="0" applyBorder="0" applyAlignment="0" applyProtection="0"/>
    <xf numFmtId="0" fontId="1" fillId="0" borderId="0"/>
    <xf numFmtId="0" fontId="10" fillId="0" borderId="0" applyFill="0" applyBorder="0" applyAlignment="0" applyProtection="0">
      <alignment horizontal="left"/>
    </xf>
    <xf numFmtId="0" fontId="42" fillId="9" borderId="16" applyNumberFormat="0" applyBorder="0">
      <alignment horizontal="center"/>
    </xf>
    <xf numFmtId="39" fontId="14" fillId="0" borderId="0"/>
    <xf numFmtId="43" fontId="46" fillId="0" borderId="0" applyFont="0" applyFill="0" applyBorder="0" applyAlignment="0" applyProtection="0"/>
    <xf numFmtId="0" fontId="10" fillId="0" borderId="0" applyFill="0" applyBorder="0" applyAlignment="0" applyProtection="0">
      <alignment horizontal="left"/>
    </xf>
    <xf numFmtId="43" fontId="46" fillId="0" borderId="0" applyFont="0" applyFill="0" applyBorder="0" applyAlignment="0" applyProtection="0"/>
    <xf numFmtId="9" fontId="46" fillId="0" borderId="0" applyFont="0" applyFill="0" applyBorder="0" applyAlignment="0" applyProtection="0"/>
  </cellStyleXfs>
  <cellXfs count="298">
    <xf numFmtId="0" fontId="0" fillId="0" borderId="0" xfId="0"/>
    <xf numFmtId="0" fontId="12" fillId="0" borderId="0" xfId="0" applyFont="1"/>
    <xf numFmtId="0" fontId="14" fillId="0" borderId="0" xfId="0" applyFont="1"/>
    <xf numFmtId="166" fontId="12" fillId="0" borderId="0" xfId="0" applyNumberFormat="1" applyFont="1" applyAlignment="1">
      <alignment horizontal="center"/>
    </xf>
    <xf numFmtId="0" fontId="14" fillId="0" borderId="0" xfId="0" applyFont="1" applyAlignment="1">
      <alignment horizontal="center"/>
    </xf>
    <xf numFmtId="0" fontId="0" fillId="0" borderId="0" xfId="0" applyAlignment="1">
      <alignment horizontal="center"/>
    </xf>
    <xf numFmtId="37" fontId="0" fillId="0" borderId="0" xfId="0" applyNumberFormat="1"/>
    <xf numFmtId="170" fontId="0" fillId="0" borderId="0" xfId="0" applyNumberFormat="1"/>
    <xf numFmtId="0" fontId="0" fillId="0" borderId="1" xfId="0" applyBorder="1" applyAlignment="1">
      <alignment horizontal="center"/>
    </xf>
    <xf numFmtId="3" fontId="0" fillId="0" borderId="0" xfId="0" applyNumberFormat="1"/>
    <xf numFmtId="0" fontId="14" fillId="0" borderId="3" xfId="0" applyFont="1" applyBorder="1" applyAlignment="1">
      <alignment horizontal="center" wrapText="1"/>
    </xf>
    <xf numFmtId="0" fontId="0" fillId="0" borderId="3" xfId="0" applyBorder="1" applyAlignment="1">
      <alignment horizontal="center" wrapText="1"/>
    </xf>
    <xf numFmtId="0" fontId="14" fillId="0" borderId="3" xfId="0" quotePrefix="1" applyFont="1" applyBorder="1" applyAlignment="1">
      <alignment horizontal="center" wrapText="1"/>
    </xf>
    <xf numFmtId="0" fontId="0" fillId="0" borderId="3" xfId="0" applyBorder="1" applyAlignment="1">
      <alignment horizontal="center"/>
    </xf>
    <xf numFmtId="0" fontId="14" fillId="0" borderId="3" xfId="0" applyFont="1" applyBorder="1" applyAlignment="1">
      <alignment horizontal="center"/>
    </xf>
    <xf numFmtId="168" fontId="0" fillId="0" borderId="0" xfId="0" applyNumberFormat="1"/>
    <xf numFmtId="169" fontId="0" fillId="0" borderId="0" xfId="0" applyNumberFormat="1"/>
    <xf numFmtId="0" fontId="5" fillId="3" borderId="0" xfId="0" applyFont="1" applyFill="1" applyAlignment="1">
      <alignment horizontal="center"/>
    </xf>
    <xf numFmtId="0" fontId="0" fillId="4" borderId="0" xfId="0" applyFill="1"/>
    <xf numFmtId="0" fontId="3" fillId="4" borderId="0" xfId="0" applyFont="1" applyFill="1" applyAlignment="1">
      <alignment horizontal="center"/>
    </xf>
    <xf numFmtId="0" fontId="4" fillId="4" borderId="0" xfId="0" applyFont="1" applyFill="1" applyAlignment="1">
      <alignment horizontal="center"/>
    </xf>
    <xf numFmtId="0" fontId="5" fillId="4" borderId="0" xfId="0" applyFont="1" applyFill="1" applyAlignment="1">
      <alignment horizontal="center"/>
    </xf>
    <xf numFmtId="0" fontId="6" fillId="4" borderId="0" xfId="0" applyFont="1" applyFill="1" applyAlignment="1">
      <alignment horizontal="center"/>
    </xf>
    <xf numFmtId="0" fontId="10" fillId="4" borderId="0" xfId="1" applyFont="1" applyFill="1" applyAlignment="1">
      <alignment horizontal="left"/>
    </xf>
    <xf numFmtId="0" fontId="10" fillId="4" borderId="0" xfId="1" applyFont="1" applyFill="1"/>
    <xf numFmtId="0" fontId="0" fillId="4" borderId="0" xfId="0" applyFill="1" applyAlignment="1">
      <alignment wrapText="1"/>
    </xf>
    <xf numFmtId="0" fontId="10" fillId="4" borderId="0" xfId="1" applyFont="1" applyFill="1" applyAlignment="1">
      <alignment horizontal="left" wrapText="1"/>
    </xf>
    <xf numFmtId="0" fontId="10" fillId="4" borderId="0" xfId="1" applyFont="1" applyFill="1" applyAlignment="1">
      <alignment wrapText="1"/>
    </xf>
    <xf numFmtId="0" fontId="7" fillId="4" borderId="0" xfId="0" applyFont="1" applyFill="1" applyAlignment="1">
      <alignment horizontal="center"/>
    </xf>
    <xf numFmtId="0" fontId="0" fillId="2" borderId="0" xfId="0" applyFill="1"/>
    <xf numFmtId="0" fontId="3" fillId="2" borderId="0" xfId="0" applyFont="1" applyFill="1" applyAlignment="1">
      <alignment horizontal="center"/>
    </xf>
    <xf numFmtId="164" fontId="3" fillId="2" borderId="0" xfId="0" applyNumberFormat="1" applyFont="1" applyFill="1" applyAlignment="1">
      <alignment horizontal="center"/>
    </xf>
    <xf numFmtId="0" fontId="2" fillId="2" borderId="0" xfId="0" applyFont="1" applyFill="1" applyAlignment="1">
      <alignment horizontal="center"/>
    </xf>
    <xf numFmtId="0" fontId="4" fillId="2" borderId="0" xfId="0" applyFont="1" applyFill="1"/>
    <xf numFmtId="0" fontId="4" fillId="2" borderId="0" xfId="0" applyFont="1" applyFill="1" applyAlignment="1">
      <alignment horizontal="center"/>
    </xf>
    <xf numFmtId="0" fontId="6" fillId="2" borderId="0" xfId="0" applyFont="1" applyFill="1" applyAlignment="1">
      <alignment horizontal="center"/>
    </xf>
    <xf numFmtId="0" fontId="16" fillId="2" borderId="0" xfId="0" applyFont="1" applyFill="1" applyAlignment="1">
      <alignment horizontal="center"/>
    </xf>
    <xf numFmtId="165" fontId="17" fillId="2" borderId="0" xfId="0" applyNumberFormat="1" applyFont="1" applyFill="1" applyAlignment="1">
      <alignment horizontal="center"/>
    </xf>
    <xf numFmtId="167" fontId="4" fillId="2" borderId="0" xfId="0" applyNumberFormat="1" applyFont="1" applyFill="1"/>
    <xf numFmtId="0" fontId="4" fillId="2" borderId="0" xfId="0" applyFont="1" applyFill="1" applyAlignment="1">
      <alignment horizontal="left" indent="2"/>
    </xf>
    <xf numFmtId="0" fontId="6" fillId="2" borderId="0" xfId="0" applyFont="1" applyFill="1"/>
    <xf numFmtId="167" fontId="6" fillId="2" borderId="0" xfId="0" applyNumberFormat="1" applyFont="1" applyFill="1" applyAlignment="1">
      <alignment horizontal="center"/>
    </xf>
    <xf numFmtId="0" fontId="14" fillId="2" borderId="0" xfId="0" applyFont="1" applyFill="1"/>
    <xf numFmtId="0" fontId="15" fillId="2" borderId="0" xfId="0" applyFont="1" applyFill="1" applyAlignment="1">
      <alignment horizontal="center"/>
    </xf>
    <xf numFmtId="167" fontId="4" fillId="2" borderId="0" xfId="0" applyNumberFormat="1" applyFont="1" applyFill="1" applyProtection="1">
      <protection locked="0"/>
    </xf>
    <xf numFmtId="167" fontId="4" fillId="2" borderId="1" xfId="0" applyNumberFormat="1" applyFont="1" applyFill="1" applyBorder="1"/>
    <xf numFmtId="168" fontId="14" fillId="2" borderId="0" xfId="0" applyNumberFormat="1" applyFont="1" applyFill="1"/>
    <xf numFmtId="169" fontId="14" fillId="2" borderId="0" xfId="0" applyNumberFormat="1" applyFont="1" applyFill="1"/>
    <xf numFmtId="170" fontId="24" fillId="0" borderId="0" xfId="3" applyNumberFormat="1" applyFont="1" applyFill="1" applyBorder="1" applyAlignment="1">
      <alignment horizontal="center" wrapText="1"/>
    </xf>
    <xf numFmtId="0" fontId="25" fillId="0" borderId="0" xfId="0" applyFont="1" applyAlignment="1">
      <alignment horizontal="center" wrapText="1"/>
    </xf>
    <xf numFmtId="169" fontId="14" fillId="4" borderId="0" xfId="0" applyNumberFormat="1" applyFont="1" applyFill="1"/>
    <xf numFmtId="0" fontId="27" fillId="2" borderId="0" xfId="0" applyFont="1" applyFill="1" applyAlignment="1">
      <alignment horizontal="center"/>
    </xf>
    <xf numFmtId="42" fontId="0" fillId="4" borderId="0" xfId="0" applyNumberFormat="1" applyFill="1"/>
    <xf numFmtId="0" fontId="12" fillId="4" borderId="0" xfId="0" applyFont="1" applyFill="1"/>
    <xf numFmtId="0" fontId="12" fillId="4" borderId="0" xfId="0" quotePrefix="1" applyFont="1" applyFill="1"/>
    <xf numFmtId="0" fontId="31" fillId="4" borderId="0" xfId="0" applyFont="1" applyFill="1"/>
    <xf numFmtId="0" fontId="31" fillId="4" borderId="0" xfId="0" applyFont="1" applyFill="1" applyAlignment="1">
      <alignment horizontal="center"/>
    </xf>
    <xf numFmtId="0" fontId="12" fillId="4" borderId="0" xfId="0" applyFont="1" applyFill="1" applyAlignment="1">
      <alignment horizontal="left"/>
    </xf>
    <xf numFmtId="0" fontId="30" fillId="4" borderId="0" xfId="0" applyFont="1" applyFill="1" applyAlignment="1">
      <alignment horizontal="left" indent="3"/>
    </xf>
    <xf numFmtId="0" fontId="29" fillId="4" borderId="0" xfId="0" applyFont="1" applyFill="1" applyAlignment="1">
      <alignment horizontal="left" indent="4"/>
    </xf>
    <xf numFmtId="165" fontId="17" fillId="4" borderId="0" xfId="0" applyNumberFormat="1" applyFont="1" applyFill="1" applyAlignment="1">
      <alignment horizontal="center"/>
    </xf>
    <xf numFmtId="0" fontId="8" fillId="4" borderId="0" xfId="0" applyFont="1" applyFill="1"/>
    <xf numFmtId="166" fontId="4" fillId="4" borderId="0" xfId="0" applyNumberFormat="1" applyFont="1" applyFill="1"/>
    <xf numFmtId="0" fontId="4" fillId="4" borderId="0" xfId="0" applyFont="1" applyFill="1" applyAlignment="1">
      <alignment horizontal="center" vertical="top"/>
    </xf>
    <xf numFmtId="0" fontId="0" fillId="4" borderId="0" xfId="0" applyFill="1" applyAlignment="1">
      <alignment vertical="top"/>
    </xf>
    <xf numFmtId="0" fontId="4" fillId="4" borderId="0" xfId="0" applyFont="1" applyFill="1"/>
    <xf numFmtId="0" fontId="4" fillId="4" borderId="0" xfId="0" applyFont="1" applyFill="1" applyAlignment="1">
      <alignment horizontal="left" vertical="top"/>
    </xf>
    <xf numFmtId="0" fontId="4" fillId="4" borderId="0" xfId="0" applyFont="1" applyFill="1" applyAlignment="1">
      <alignment vertical="top"/>
    </xf>
    <xf numFmtId="0" fontId="4" fillId="4" borderId="0" xfId="0" applyFont="1" applyFill="1" applyAlignment="1">
      <alignment vertical="top" wrapText="1"/>
    </xf>
    <xf numFmtId="0" fontId="0" fillId="4" borderId="0" xfId="0" applyFill="1" applyAlignment="1">
      <alignment vertical="top" wrapText="1"/>
    </xf>
    <xf numFmtId="49" fontId="4" fillId="4" borderId="0" xfId="0" quotePrefix="1" applyNumberFormat="1" applyFont="1" applyFill="1" applyAlignment="1">
      <alignment horizontal="center" vertical="top"/>
    </xf>
    <xf numFmtId="0" fontId="4" fillId="4" borderId="0" xfId="0" applyFont="1" applyFill="1" applyAlignment="1">
      <alignment horizontal="left" vertical="top" wrapText="1"/>
    </xf>
    <xf numFmtId="0" fontId="12" fillId="2" borderId="0" xfId="0" quotePrefix="1" applyFont="1" applyFill="1" applyAlignment="1">
      <alignment horizontal="center"/>
    </xf>
    <xf numFmtId="0" fontId="12" fillId="2" borderId="3" xfId="0" quotePrefix="1" applyFont="1" applyFill="1" applyBorder="1" applyAlignment="1">
      <alignment horizontal="center"/>
    </xf>
    <xf numFmtId="169" fontId="14" fillId="2" borderId="3" xfId="0" applyNumberFormat="1" applyFont="1" applyFill="1" applyBorder="1"/>
    <xf numFmtId="0" fontId="12" fillId="4" borderId="0" xfId="0" applyFont="1" applyFill="1" applyAlignment="1">
      <alignment horizontal="center"/>
    </xf>
    <xf numFmtId="166" fontId="12" fillId="4" borderId="3" xfId="0" applyNumberFormat="1" applyFont="1" applyFill="1" applyBorder="1" applyAlignment="1">
      <alignment horizontal="center"/>
    </xf>
    <xf numFmtId="166" fontId="18" fillId="4" borderId="0" xfId="0" applyNumberFormat="1" applyFont="1" applyFill="1" applyAlignment="1">
      <alignment horizontal="center"/>
    </xf>
    <xf numFmtId="166" fontId="12" fillId="4" borderId="0" xfId="0" applyNumberFormat="1" applyFont="1" applyFill="1" applyAlignment="1">
      <alignment horizontal="center"/>
    </xf>
    <xf numFmtId="0" fontId="14" fillId="4" borderId="0" xfId="1" applyFont="1" applyFill="1"/>
    <xf numFmtId="1" fontId="14" fillId="4" borderId="0" xfId="0" applyNumberFormat="1" applyFont="1" applyFill="1" applyAlignment="1">
      <alignment horizontal="center"/>
    </xf>
    <xf numFmtId="168" fontId="14" fillId="4" borderId="0" xfId="0" applyNumberFormat="1" applyFont="1" applyFill="1"/>
    <xf numFmtId="167" fontId="14" fillId="4" borderId="0" xfId="0" applyNumberFormat="1" applyFont="1" applyFill="1"/>
    <xf numFmtId="169" fontId="14" fillId="4" borderId="3" xfId="0" applyNumberFormat="1" applyFont="1" applyFill="1" applyBorder="1"/>
    <xf numFmtId="0" fontId="14" fillId="4" borderId="0" xfId="1" applyFont="1" applyFill="1" applyAlignment="1">
      <alignment horizontal="left" indent="1"/>
    </xf>
    <xf numFmtId="0" fontId="14" fillId="4" borderId="0" xfId="0" applyFont="1" applyFill="1" applyAlignment="1">
      <alignment horizontal="center"/>
    </xf>
    <xf numFmtId="168" fontId="14" fillId="4" borderId="2" xfId="0" applyNumberFormat="1" applyFont="1" applyFill="1" applyBorder="1"/>
    <xf numFmtId="0" fontId="32" fillId="4" borderId="0" xfId="0" applyFont="1" applyFill="1"/>
    <xf numFmtId="0" fontId="21" fillId="4" borderId="12" xfId="0" applyFont="1" applyFill="1" applyBorder="1" applyAlignment="1" applyProtection="1">
      <alignment horizontal="center"/>
      <protection locked="0"/>
    </xf>
    <xf numFmtId="0" fontId="12" fillId="0" borderId="3" xfId="0" applyFont="1" applyBorder="1"/>
    <xf numFmtId="0" fontId="12" fillId="4" borderId="3" xfId="0" applyFont="1" applyFill="1" applyBorder="1" applyAlignment="1">
      <alignment horizontal="center"/>
    </xf>
    <xf numFmtId="0" fontId="14" fillId="4" borderId="0" xfId="0" applyFont="1" applyFill="1"/>
    <xf numFmtId="0" fontId="14" fillId="4" borderId="5" xfId="0" applyFont="1" applyFill="1" applyBorder="1"/>
    <xf numFmtId="0" fontId="0" fillId="4" borderId="6" xfId="0" applyFill="1" applyBorder="1"/>
    <xf numFmtId="0" fontId="0" fillId="4" borderId="7" xfId="0" applyFill="1" applyBorder="1"/>
    <xf numFmtId="0" fontId="14" fillId="4" borderId="8" xfId="0" applyFont="1" applyFill="1" applyBorder="1"/>
    <xf numFmtId="0" fontId="0" fillId="4" borderId="9" xfId="0" applyFill="1" applyBorder="1"/>
    <xf numFmtId="15" fontId="12" fillId="4" borderId="8" xfId="0" quotePrefix="1" applyNumberFormat="1" applyFont="1" applyFill="1" applyBorder="1"/>
    <xf numFmtId="0" fontId="0" fillId="4" borderId="8" xfId="0" applyFill="1" applyBorder="1"/>
    <xf numFmtId="0" fontId="19" fillId="4" borderId="0" xfId="0" applyFont="1" applyFill="1" applyAlignment="1">
      <alignment horizontal="center"/>
    </xf>
    <xf numFmtId="0" fontId="14" fillId="4" borderId="3" xfId="0" applyFont="1" applyFill="1" applyBorder="1" applyAlignment="1">
      <alignment horizontal="center"/>
    </xf>
    <xf numFmtId="0" fontId="0" fillId="4" borderId="0" xfId="0" applyFill="1" applyAlignment="1">
      <alignment horizontal="center"/>
    </xf>
    <xf numFmtId="42" fontId="14" fillId="4" borderId="0" xfId="0" applyNumberFormat="1" applyFont="1" applyFill="1"/>
    <xf numFmtId="41" fontId="14" fillId="4" borderId="0" xfId="0" applyNumberFormat="1" applyFont="1" applyFill="1"/>
    <xf numFmtId="41" fontId="0" fillId="4" borderId="0" xfId="0" applyNumberFormat="1" applyFill="1"/>
    <xf numFmtId="0" fontId="14" fillId="4" borderId="8" xfId="0" applyFont="1" applyFill="1" applyBorder="1" applyAlignment="1">
      <alignment horizontal="left" indent="2"/>
    </xf>
    <xf numFmtId="42" fontId="0" fillId="4" borderId="2" xfId="0" applyNumberFormat="1" applyFill="1" applyBorder="1"/>
    <xf numFmtId="15" fontId="20" fillId="4" borderId="8" xfId="0" quotePrefix="1" applyNumberFormat="1" applyFont="1" applyFill="1" applyBorder="1"/>
    <xf numFmtId="0" fontId="0" fillId="4" borderId="11" xfId="0" applyFill="1" applyBorder="1"/>
    <xf numFmtId="0" fontId="0" fillId="4" borderId="3" xfId="0" applyFill="1" applyBorder="1"/>
    <xf numFmtId="0" fontId="0" fillId="4" borderId="10" xfId="0" applyFill="1" applyBorder="1"/>
    <xf numFmtId="0" fontId="0" fillId="4" borderId="8" xfId="0" applyFill="1" applyBorder="1" applyAlignment="1">
      <alignment horizontal="left" indent="2"/>
    </xf>
    <xf numFmtId="169" fontId="0" fillId="4" borderId="0" xfId="0" applyNumberFormat="1" applyFill="1"/>
    <xf numFmtId="169" fontId="0" fillId="4" borderId="3" xfId="0" applyNumberFormat="1" applyFill="1" applyBorder="1"/>
    <xf numFmtId="0" fontId="14" fillId="4" borderId="8" xfId="0" applyFont="1" applyFill="1" applyBorder="1" applyAlignment="1">
      <alignment horizontal="left" indent="3"/>
    </xf>
    <xf numFmtId="168" fontId="0" fillId="4" borderId="2" xfId="0" applyNumberFormat="1" applyFill="1" applyBorder="1"/>
    <xf numFmtId="0" fontId="20" fillId="4" borderId="8" xfId="0" applyFont="1" applyFill="1" applyBorder="1"/>
    <xf numFmtId="0" fontId="14" fillId="4" borderId="11" xfId="0" applyFont="1" applyFill="1" applyBorder="1"/>
    <xf numFmtId="0" fontId="14" fillId="4" borderId="8" xfId="0" quotePrefix="1" applyFont="1" applyFill="1" applyBorder="1"/>
    <xf numFmtId="168" fontId="14" fillId="4" borderId="4" xfId="0" applyNumberFormat="1" applyFont="1" applyFill="1" applyBorder="1"/>
    <xf numFmtId="0" fontId="0" fillId="4" borderId="5" xfId="0" applyFill="1" applyBorder="1"/>
    <xf numFmtId="0" fontId="0" fillId="4" borderId="8" xfId="0" applyFill="1" applyBorder="1" applyAlignment="1">
      <alignment horizontal="center"/>
    </xf>
    <xf numFmtId="0" fontId="0" fillId="4" borderId="3" xfId="0" applyFill="1" applyBorder="1" applyAlignment="1">
      <alignment horizontal="center"/>
    </xf>
    <xf numFmtId="168" fontId="0" fillId="4" borderId="0" xfId="0" applyNumberFormat="1" applyFill="1"/>
    <xf numFmtId="168" fontId="0" fillId="4" borderId="3" xfId="0" applyNumberFormat="1" applyFill="1" applyBorder="1"/>
    <xf numFmtId="0" fontId="34" fillId="4" borderId="0" xfId="4" applyFont="1" applyFill="1"/>
    <xf numFmtId="0" fontId="35" fillId="2" borderId="0" xfId="0" applyFont="1" applyFill="1"/>
    <xf numFmtId="0" fontId="12" fillId="4" borderId="0" xfId="0" quotePrefix="1" applyFont="1" applyFill="1" applyAlignment="1">
      <alignment horizontal="center"/>
    </xf>
    <xf numFmtId="0" fontId="36" fillId="0" borderId="0" xfId="0" applyFont="1"/>
    <xf numFmtId="0" fontId="4" fillId="0" borderId="0" xfId="0" applyFont="1"/>
    <xf numFmtId="167" fontId="4" fillId="4" borderId="0" xfId="0" applyNumberFormat="1" applyFont="1" applyFill="1" applyProtection="1">
      <protection locked="0"/>
    </xf>
    <xf numFmtId="0" fontId="23" fillId="0" borderId="13" xfId="0" applyFont="1" applyBorder="1" applyAlignment="1">
      <alignment horizontal="centerContinuous"/>
    </xf>
    <xf numFmtId="0" fontId="23" fillId="0" borderId="1" xfId="0" applyFont="1" applyBorder="1" applyAlignment="1">
      <alignment horizontal="centerContinuous"/>
    </xf>
    <xf numFmtId="0" fontId="23" fillId="0" borderId="14" xfId="0" applyFont="1" applyBorder="1" applyAlignment="1">
      <alignment horizontal="centerContinuous"/>
    </xf>
    <xf numFmtId="0" fontId="12" fillId="0" borderId="0" xfId="0" applyFont="1" applyAlignment="1">
      <alignment horizontal="center"/>
    </xf>
    <xf numFmtId="0" fontId="18" fillId="4" borderId="0" xfId="0" applyFont="1" applyFill="1"/>
    <xf numFmtId="0" fontId="37" fillId="4" borderId="0" xfId="0" applyFont="1" applyFill="1"/>
    <xf numFmtId="0" fontId="26" fillId="0" borderId="1" xfId="0" applyFont="1" applyBorder="1" applyAlignment="1">
      <alignment horizontal="center" wrapText="1"/>
    </xf>
    <xf numFmtId="0" fontId="14" fillId="6" borderId="0" xfId="0" applyFont="1" applyFill="1"/>
    <xf numFmtId="0" fontId="0" fillId="6" borderId="0" xfId="0" applyFill="1"/>
    <xf numFmtId="37" fontId="0" fillId="6" borderId="0" xfId="0" applyNumberFormat="1" applyFill="1"/>
    <xf numFmtId="3" fontId="0" fillId="6" borderId="0" xfId="0" applyNumberFormat="1" applyFill="1"/>
    <xf numFmtId="170" fontId="0" fillId="6" borderId="0" xfId="0" applyNumberFormat="1" applyFill="1"/>
    <xf numFmtId="0" fontId="0" fillId="7" borderId="0" xfId="0" applyFill="1"/>
    <xf numFmtId="37" fontId="0" fillId="7" borderId="0" xfId="0" applyNumberFormat="1" applyFill="1"/>
    <xf numFmtId="0" fontId="14" fillId="7" borderId="0" xfId="0" applyFont="1" applyFill="1"/>
    <xf numFmtId="0" fontId="0" fillId="0" borderId="0" xfId="0" applyAlignment="1">
      <alignment horizontal="center" wrapText="1"/>
    </xf>
    <xf numFmtId="0" fontId="0" fillId="6" borderId="15" xfId="0" applyFill="1" applyBorder="1" applyAlignment="1">
      <alignment horizontal="center"/>
    </xf>
    <xf numFmtId="167" fontId="4" fillId="2" borderId="3" xfId="0" applyNumberFormat="1" applyFont="1" applyFill="1" applyBorder="1"/>
    <xf numFmtId="0" fontId="36" fillId="4" borderId="0" xfId="0" applyFont="1" applyFill="1"/>
    <xf numFmtId="0" fontId="38" fillId="7" borderId="0" xfId="0" applyFont="1" applyFill="1"/>
    <xf numFmtId="0" fontId="40" fillId="4" borderId="0" xfId="0" applyFont="1" applyFill="1" applyAlignment="1">
      <alignment horizontal="left"/>
    </xf>
    <xf numFmtId="0" fontId="41" fillId="4" borderId="0" xfId="0" applyFont="1" applyFill="1" applyAlignment="1">
      <alignment horizontal="left" indent="1"/>
    </xf>
    <xf numFmtId="0" fontId="41" fillId="0" borderId="0" xfId="0" applyFont="1" applyAlignment="1">
      <alignment horizontal="left" indent="1"/>
    </xf>
    <xf numFmtId="1" fontId="14" fillId="0" borderId="0" xfId="0" applyNumberFormat="1" applyFont="1" applyAlignment="1">
      <alignment horizontal="center"/>
    </xf>
    <xf numFmtId="0" fontId="18" fillId="4" borderId="0" xfId="1" applyFont="1" applyFill="1"/>
    <xf numFmtId="0" fontId="20" fillId="4" borderId="0" xfId="1" applyFont="1" applyFill="1" applyAlignment="1">
      <alignment horizontal="left"/>
    </xf>
    <xf numFmtId="166" fontId="13" fillId="2" borderId="0" xfId="0" applyNumberFormat="1" applyFont="1" applyFill="1"/>
    <xf numFmtId="166" fontId="38" fillId="2" borderId="0" xfId="0" applyNumberFormat="1" applyFont="1" applyFill="1"/>
    <xf numFmtId="0" fontId="13" fillId="2" borderId="0" xfId="0" applyFont="1" applyFill="1"/>
    <xf numFmtId="166" fontId="13" fillId="2" borderId="0" xfId="0" quotePrefix="1" applyNumberFormat="1" applyFont="1" applyFill="1"/>
    <xf numFmtId="166" fontId="4" fillId="2" borderId="0" xfId="0" applyNumberFormat="1" applyFont="1" applyFill="1"/>
    <xf numFmtId="10" fontId="0" fillId="6" borderId="0" xfId="0" applyNumberFormat="1" applyFill="1"/>
    <xf numFmtId="3" fontId="0" fillId="7" borderId="0" xfId="0" applyNumberFormat="1" applyFill="1"/>
    <xf numFmtId="41" fontId="0" fillId="0" borderId="0" xfId="0" applyNumberFormat="1"/>
    <xf numFmtId="0" fontId="0" fillId="0" borderId="8" xfId="0" applyBorder="1"/>
    <xf numFmtId="0" fontId="5" fillId="2" borderId="0" xfId="0" applyFont="1" applyFill="1"/>
    <xf numFmtId="15" fontId="14" fillId="4" borderId="0" xfId="0" quotePrefix="1" applyNumberFormat="1" applyFont="1" applyFill="1" applyAlignment="1">
      <alignment horizontal="center"/>
    </xf>
    <xf numFmtId="0" fontId="0" fillId="6" borderId="13" xfId="0" applyFill="1" applyBorder="1"/>
    <xf numFmtId="0" fontId="0" fillId="6" borderId="1" xfId="0" applyFill="1" applyBorder="1"/>
    <xf numFmtId="0" fontId="0" fillId="6" borderId="14" xfId="0" applyFill="1" applyBorder="1"/>
    <xf numFmtId="0" fontId="15" fillId="4" borderId="0" xfId="0" applyFont="1" applyFill="1" applyAlignment="1">
      <alignment horizontal="left" vertical="center"/>
    </xf>
    <xf numFmtId="0" fontId="14" fillId="0" borderId="0" xfId="0" applyFont="1" applyAlignment="1">
      <alignment horizontal="center" wrapText="1"/>
    </xf>
    <xf numFmtId="0" fontId="39" fillId="0" borderId="0" xfId="0" applyFont="1"/>
    <xf numFmtId="0" fontId="39" fillId="4" borderId="0" xfId="0" applyFont="1" applyFill="1" applyAlignment="1">
      <alignment horizontal="left"/>
    </xf>
    <xf numFmtId="1" fontId="36" fillId="4" borderId="0" xfId="0" applyNumberFormat="1" applyFont="1" applyFill="1" applyAlignment="1">
      <alignment horizontal="center"/>
    </xf>
    <xf numFmtId="0" fontId="17" fillId="0" borderId="0" xfId="0" applyFont="1"/>
    <xf numFmtId="38" fontId="10" fillId="0" borderId="0" xfId="9" applyNumberFormat="1" applyFill="1" applyBorder="1" applyAlignment="1">
      <alignment wrapText="1"/>
    </xf>
    <xf numFmtId="170" fontId="43" fillId="0" borderId="0" xfId="3" applyNumberFormat="1" applyFont="1" applyFill="1" applyBorder="1" applyAlignment="1"/>
    <xf numFmtId="37" fontId="0" fillId="0" borderId="0" xfId="0" applyNumberFormat="1" applyAlignment="1">
      <alignment horizontal="center"/>
    </xf>
    <xf numFmtId="37" fontId="12" fillId="0" borderId="0" xfId="0" applyNumberFormat="1" applyFont="1" applyAlignment="1">
      <alignment horizontal="center"/>
    </xf>
    <xf numFmtId="37" fontId="0" fillId="0" borderId="0" xfId="2" applyNumberFormat="1" applyFont="1"/>
    <xf numFmtId="171" fontId="14" fillId="8" borderId="0" xfId="2" applyNumberFormat="1" applyFont="1" applyFill="1" applyBorder="1" applyAlignment="1">
      <alignment horizontal="right"/>
    </xf>
    <xf numFmtId="171" fontId="14" fillId="0" borderId="0" xfId="2" applyNumberFormat="1" applyFont="1" applyFill="1" applyAlignment="1">
      <alignment horizontal="right"/>
    </xf>
    <xf numFmtId="171" fontId="14" fillId="0" borderId="0" xfId="2" applyNumberFormat="1" applyFont="1" applyFill="1" applyBorder="1" applyAlignment="1">
      <alignment horizontal="right"/>
    </xf>
    <xf numFmtId="0" fontId="12" fillId="0" borderId="0" xfId="0" applyFont="1" applyAlignment="1">
      <alignment horizontal="center" wrapText="1"/>
    </xf>
    <xf numFmtId="0" fontId="10" fillId="0" borderId="0" xfId="2" applyNumberFormat="1" applyFont="1" applyFill="1" applyBorder="1" applyAlignment="1">
      <alignment horizontal="center"/>
    </xf>
    <xf numFmtId="0" fontId="38" fillId="7" borderId="0" xfId="0" applyFont="1" applyFill="1" applyAlignment="1">
      <alignment horizontal="left"/>
    </xf>
    <xf numFmtId="37" fontId="14" fillId="6" borderId="15" xfId="0" applyNumberFormat="1" applyFont="1" applyFill="1" applyBorder="1" applyAlignment="1">
      <alignment horizontal="center"/>
    </xf>
    <xf numFmtId="37" fontId="0" fillId="0" borderId="0" xfId="0" applyNumberFormat="1" applyAlignment="1">
      <alignment horizontal="center" wrapText="1"/>
    </xf>
    <xf numFmtId="167" fontId="0" fillId="4" borderId="0" xfId="0" applyNumberFormat="1" applyFill="1"/>
    <xf numFmtId="0" fontId="14" fillId="0" borderId="8" xfId="0" applyFont="1" applyBorder="1"/>
    <xf numFmtId="167" fontId="4" fillId="2" borderId="12" xfId="0" applyNumberFormat="1" applyFont="1" applyFill="1" applyBorder="1" applyProtection="1">
      <protection locked="0"/>
    </xf>
    <xf numFmtId="168" fontId="12" fillId="0" borderId="0" xfId="0" applyNumberFormat="1" applyFont="1"/>
    <xf numFmtId="169" fontId="12" fillId="0" borderId="0" xfId="0" applyNumberFormat="1" applyFont="1"/>
    <xf numFmtId="0" fontId="14" fillId="8" borderId="0" xfId="0" applyFont="1" applyFill="1" applyAlignment="1">
      <alignment horizontal="center"/>
    </xf>
    <xf numFmtId="0" fontId="44" fillId="0" borderId="0" xfId="0" applyFont="1" applyAlignment="1">
      <alignment horizontal="center"/>
    </xf>
    <xf numFmtId="0" fontId="14" fillId="8" borderId="0" xfId="0" applyFont="1" applyFill="1" applyAlignment="1">
      <alignment horizontal="left"/>
    </xf>
    <xf numFmtId="0" fontId="14" fillId="0" borderId="0" xfId="0" applyFont="1" applyAlignment="1">
      <alignment horizontal="left"/>
    </xf>
    <xf numFmtId="171" fontId="14" fillId="8" borderId="0" xfId="2" applyNumberFormat="1" applyFont="1" applyFill="1" applyAlignment="1">
      <alignment horizontal="right"/>
    </xf>
    <xf numFmtId="173" fontId="14" fillId="0" borderId="0" xfId="0" applyNumberFormat="1" applyFont="1"/>
    <xf numFmtId="171" fontId="14" fillId="8" borderId="3" xfId="2" applyNumberFormat="1" applyFont="1" applyFill="1" applyBorder="1" applyAlignment="1">
      <alignment horizontal="right"/>
    </xf>
    <xf numFmtId="171" fontId="14" fillId="0" borderId="0" xfId="0" applyNumberFormat="1" applyFont="1"/>
    <xf numFmtId="171" fontId="14" fillId="0" borderId="0" xfId="2" applyNumberFormat="1" applyFont="1" applyFill="1" applyAlignment="1">
      <alignment horizontal="right" vertical="top"/>
    </xf>
    <xf numFmtId="171" fontId="14" fillId="0" borderId="0" xfId="2" applyNumberFormat="1" applyFont="1" applyFill="1" applyBorder="1"/>
    <xf numFmtId="37" fontId="14" fillId="7" borderId="0" xfId="0" applyNumberFormat="1" applyFont="1" applyFill="1"/>
    <xf numFmtId="37" fontId="14" fillId="0" borderId="0" xfId="0" applyNumberFormat="1" applyFont="1"/>
    <xf numFmtId="171" fontId="0" fillId="0" borderId="0" xfId="0" applyNumberFormat="1"/>
    <xf numFmtId="0" fontId="0" fillId="0" borderId="3" xfId="0" applyBorder="1"/>
    <xf numFmtId="38" fontId="10" fillId="0" borderId="19" xfId="9" applyNumberFormat="1" applyFill="1" applyBorder="1" applyAlignment="1">
      <alignment wrapText="1"/>
    </xf>
    <xf numFmtId="175" fontId="0" fillId="0" borderId="0" xfId="2" applyNumberFormat="1" applyFont="1"/>
    <xf numFmtId="175" fontId="0" fillId="0" borderId="0" xfId="2" applyNumberFormat="1" applyFont="1" applyFill="1"/>
    <xf numFmtId="0" fontId="0" fillId="0" borderId="0" xfId="0" applyAlignment="1">
      <alignment wrapText="1"/>
    </xf>
    <xf numFmtId="167" fontId="0" fillId="2" borderId="0" xfId="0" applyNumberFormat="1" applyFill="1"/>
    <xf numFmtId="168" fontId="14" fillId="0" borderId="2" xfId="0" applyNumberFormat="1" applyFont="1" applyBorder="1"/>
    <xf numFmtId="37" fontId="0" fillId="10" borderId="0" xfId="0" applyNumberFormat="1" applyFill="1"/>
    <xf numFmtId="167" fontId="0" fillId="0" borderId="0" xfId="0" applyNumberFormat="1"/>
    <xf numFmtId="0" fontId="4" fillId="11" borderId="0" xfId="0" applyFont="1" applyFill="1" applyAlignment="1">
      <alignment horizontal="left" indent="2"/>
    </xf>
    <xf numFmtId="0" fontId="4" fillId="11" borderId="0" xfId="0" applyFont="1" applyFill="1" applyAlignment="1">
      <alignment horizontal="center"/>
    </xf>
    <xf numFmtId="167" fontId="4" fillId="11" borderId="0" xfId="0" applyNumberFormat="1" applyFont="1" applyFill="1" applyProtection="1">
      <protection locked="0"/>
    </xf>
    <xf numFmtId="167" fontId="4" fillId="11" borderId="0" xfId="0" applyNumberFormat="1" applyFont="1" applyFill="1"/>
    <xf numFmtId="0" fontId="14" fillId="11" borderId="0" xfId="1" applyFont="1" applyFill="1"/>
    <xf numFmtId="1" fontId="14" fillId="11" borderId="0" xfId="0" applyNumberFormat="1" applyFont="1" applyFill="1" applyAlignment="1">
      <alignment horizontal="center"/>
    </xf>
    <xf numFmtId="169" fontId="14" fillId="11" borderId="0" xfId="0" applyNumberFormat="1" applyFont="1" applyFill="1"/>
    <xf numFmtId="167" fontId="14" fillId="11" borderId="0" xfId="0" applyNumberFormat="1" applyFont="1" applyFill="1"/>
    <xf numFmtId="0" fontId="14" fillId="11" borderId="3" xfId="0" applyFont="1" applyFill="1" applyBorder="1" applyAlignment="1">
      <alignment horizontal="center" wrapText="1"/>
    </xf>
    <xf numFmtId="37" fontId="0" fillId="11" borderId="0" xfId="0" applyNumberFormat="1" applyFill="1"/>
    <xf numFmtId="169" fontId="14" fillId="12" borderId="0" xfId="0" applyNumberFormat="1" applyFont="1" applyFill="1"/>
    <xf numFmtId="0" fontId="4" fillId="12" borderId="0" xfId="0" applyFont="1" applyFill="1" applyAlignment="1">
      <alignment horizontal="center"/>
    </xf>
    <xf numFmtId="170" fontId="43" fillId="0" borderId="0" xfId="0" applyNumberFormat="1" applyFont="1"/>
    <xf numFmtId="43" fontId="14" fillId="8" borderId="0" xfId="2" applyFont="1" applyFill="1" applyBorder="1" applyAlignment="1">
      <alignment horizontal="center"/>
    </xf>
    <xf numFmtId="43" fontId="14" fillId="8" borderId="0" xfId="2" applyFont="1" applyFill="1" applyAlignment="1">
      <alignment horizontal="right"/>
    </xf>
    <xf numFmtId="43" fontId="14" fillId="0" borderId="0" xfId="2" applyFont="1" applyFill="1" applyAlignment="1">
      <alignment horizontal="right"/>
    </xf>
    <xf numFmtId="43" fontId="14" fillId="0" borderId="0" xfId="2" applyFont="1" applyFill="1" applyBorder="1" applyAlignment="1">
      <alignment horizontal="right"/>
    </xf>
    <xf numFmtId="43" fontId="14" fillId="8" borderId="0" xfId="2" applyFont="1" applyFill="1" applyBorder="1" applyAlignment="1">
      <alignment horizontal="right"/>
    </xf>
    <xf numFmtId="43" fontId="14" fillId="8" borderId="3" xfId="2" applyFont="1" applyFill="1" applyBorder="1" applyAlignment="1">
      <alignment horizontal="right"/>
    </xf>
    <xf numFmtId="171" fontId="0" fillId="0" borderId="6" xfId="0" applyNumberFormat="1" applyBorder="1"/>
    <xf numFmtId="172" fontId="10" fillId="0" borderId="0" xfId="12" applyNumberFormat="1" applyFont="1" applyFill="1" applyBorder="1" applyAlignment="1"/>
    <xf numFmtId="174" fontId="10" fillId="0" borderId="0" xfId="12" applyNumberFormat="1" applyFont="1" applyFill="1" applyBorder="1" applyAlignment="1"/>
    <xf numFmtId="37" fontId="43" fillId="8" borderId="18" xfId="9" applyNumberFormat="1" applyFont="1" applyFill="1" applyBorder="1" applyAlignment="1"/>
    <xf numFmtId="37" fontId="43" fillId="8" borderId="0" xfId="9" applyNumberFormat="1" applyFont="1" applyFill="1" applyBorder="1" applyAlignment="1"/>
    <xf numFmtId="37" fontId="43" fillId="8" borderId="20" xfId="9" applyNumberFormat="1" applyFont="1" applyFill="1" applyBorder="1" applyAlignment="1"/>
    <xf numFmtId="37" fontId="43" fillId="8" borderId="17" xfId="9" applyNumberFormat="1" applyFont="1" applyFill="1" applyBorder="1" applyAlignment="1"/>
    <xf numFmtId="176" fontId="12" fillId="0" borderId="17" xfId="12" applyNumberFormat="1" applyFont="1" applyFill="1" applyBorder="1" applyAlignment="1">
      <alignment horizontal="center" wrapText="1"/>
    </xf>
    <xf numFmtId="0" fontId="12" fillId="0" borderId="17" xfId="10" applyFont="1" applyFill="1" applyBorder="1">
      <alignment horizontal="center"/>
    </xf>
    <xf numFmtId="172" fontId="10" fillId="0" borderId="0" xfId="12" applyNumberFormat="1" applyFont="1" applyFill="1" applyBorder="1" applyAlignment="1">
      <alignment horizontal="center"/>
    </xf>
    <xf numFmtId="38" fontId="10" fillId="0" borderId="0" xfId="9" applyNumberFormat="1" applyFill="1" applyBorder="1" applyAlignment="1"/>
    <xf numFmtId="176" fontId="10" fillId="0" borderId="17" xfId="12" applyNumberFormat="1" applyFont="1" applyFill="1" applyBorder="1"/>
    <xf numFmtId="172" fontId="47" fillId="8" borderId="0" xfId="14" applyNumberFormat="1" applyFont="1" applyFill="1" applyBorder="1" applyAlignment="1">
      <alignment horizontal="center" vertical="center"/>
    </xf>
    <xf numFmtId="39" fontId="47" fillId="8" borderId="0" xfId="11" applyFont="1" applyFill="1"/>
    <xf numFmtId="172" fontId="47" fillId="0" borderId="0" xfId="14" applyNumberFormat="1" applyFont="1" applyFill="1" applyBorder="1" applyAlignment="1">
      <alignment horizontal="center" vertical="center"/>
    </xf>
    <xf numFmtId="39" fontId="47" fillId="0" borderId="0" xfId="11" applyFont="1"/>
    <xf numFmtId="174" fontId="47" fillId="8" borderId="0" xfId="14" applyNumberFormat="1" applyFont="1" applyFill="1" applyBorder="1" applyAlignment="1">
      <alignment horizontal="center" vertical="center"/>
    </xf>
    <xf numFmtId="174" fontId="47" fillId="0" borderId="0" xfId="14" applyNumberFormat="1" applyFont="1" applyFill="1" applyBorder="1" applyAlignment="1">
      <alignment horizontal="center" vertical="center"/>
    </xf>
    <xf numFmtId="170" fontId="45" fillId="0" borderId="0" xfId="7" applyNumberFormat="1" applyFont="1" applyFill="1" applyBorder="1"/>
    <xf numFmtId="175" fontId="14" fillId="0" borderId="0" xfId="2" applyNumberFormat="1" applyFont="1"/>
    <xf numFmtId="170" fontId="48" fillId="8" borderId="0" xfId="15" applyNumberFormat="1" applyFont="1" applyFill="1" applyBorder="1" applyAlignment="1"/>
    <xf numFmtId="170" fontId="48" fillId="0" borderId="0" xfId="15" applyNumberFormat="1" applyFont="1" applyFill="1" applyBorder="1" applyAlignment="1"/>
    <xf numFmtId="170" fontId="48" fillId="8" borderId="21" xfId="15" applyNumberFormat="1" applyFont="1" applyFill="1" applyBorder="1" applyAlignment="1"/>
    <xf numFmtId="168" fontId="0" fillId="8" borderId="2" xfId="0" applyNumberFormat="1" applyFill="1" applyBorder="1"/>
    <xf numFmtId="0" fontId="20" fillId="4" borderId="0" xfId="0" applyFont="1" applyFill="1" applyAlignment="1">
      <alignment horizontal="left"/>
    </xf>
    <xf numFmtId="0" fontId="33" fillId="0" borderId="0" xfId="4"/>
    <xf numFmtId="0" fontId="0" fillId="0" borderId="0" xfId="0"/>
    <xf numFmtId="0" fontId="39" fillId="7" borderId="0" xfId="0" applyFont="1" applyFill="1" applyAlignment="1">
      <alignment horizontal="center"/>
    </xf>
    <xf numFmtId="0" fontId="33" fillId="0" borderId="0" xfId="4" applyAlignment="1">
      <alignment horizontal="left"/>
    </xf>
    <xf numFmtId="0" fontId="15" fillId="4" borderId="0" xfId="0" applyFont="1" applyFill="1" applyAlignment="1">
      <alignment horizontal="left" vertical="center"/>
    </xf>
    <xf numFmtId="0" fontId="0" fillId="4" borderId="0" xfId="0" applyFill="1" applyAlignment="1">
      <alignment vertical="center"/>
    </xf>
    <xf numFmtId="0" fontId="4" fillId="4" borderId="0" xfId="0" applyFont="1" applyFill="1" applyAlignment="1">
      <alignment vertical="top" wrapText="1"/>
    </xf>
    <xf numFmtId="0" fontId="0" fillId="4" borderId="0" xfId="0" applyFill="1" applyAlignment="1">
      <alignment vertical="top"/>
    </xf>
    <xf numFmtId="0" fontId="0" fillId="4" borderId="0" xfId="0" applyFill="1" applyAlignment="1">
      <alignment vertical="top" wrapText="1"/>
    </xf>
    <xf numFmtId="0" fontId="4" fillId="4" borderId="0" xfId="0" applyFont="1" applyFill="1" applyAlignment="1">
      <alignment horizontal="left" vertical="top" wrapText="1"/>
    </xf>
    <xf numFmtId="0" fontId="12" fillId="4" borderId="0" xfId="0" quotePrefix="1" applyFont="1" applyFill="1" applyAlignment="1">
      <alignment horizontal="center"/>
    </xf>
    <xf numFmtId="0" fontId="12" fillId="0" borderId="0" xfId="0" applyFont="1" applyAlignment="1">
      <alignment horizontal="center"/>
    </xf>
    <xf numFmtId="0" fontId="14" fillId="4" borderId="0" xfId="1" applyFont="1" applyFill="1" applyAlignment="1">
      <alignment horizontal="left" wrapText="1"/>
    </xf>
    <xf numFmtId="0" fontId="0" fillId="0" borderId="0" xfId="0" applyAlignment="1">
      <alignment horizontal="left" wrapText="1"/>
    </xf>
    <xf numFmtId="0" fontId="14" fillId="4" borderId="0" xfId="0" applyFont="1" applyFill="1" applyAlignment="1">
      <alignment horizontal="left" vertical="top" wrapText="1"/>
    </xf>
    <xf numFmtId="0" fontId="0" fillId="0" borderId="0" xfId="0" applyAlignment="1">
      <alignment horizontal="center"/>
    </xf>
    <xf numFmtId="0" fontId="20" fillId="4" borderId="8" xfId="0" applyFont="1" applyFill="1" applyBorder="1" applyAlignment="1">
      <alignment wrapText="1"/>
    </xf>
    <xf numFmtId="0" fontId="20" fillId="4" borderId="0" xfId="0" applyFont="1" applyFill="1" applyAlignment="1">
      <alignment wrapText="1"/>
    </xf>
    <xf numFmtId="0" fontId="20" fillId="4" borderId="9" xfId="0" applyFont="1" applyFill="1" applyBorder="1" applyAlignment="1">
      <alignment wrapText="1"/>
    </xf>
    <xf numFmtId="0" fontId="20" fillId="4" borderId="8" xfId="0" applyFont="1" applyFill="1" applyBorder="1" applyAlignment="1">
      <alignment vertical="top" wrapText="1"/>
    </xf>
    <xf numFmtId="0" fontId="0" fillId="4" borderId="9" xfId="0" applyFill="1" applyBorder="1" applyAlignment="1">
      <alignment vertical="top" wrapText="1"/>
    </xf>
    <xf numFmtId="0" fontId="14" fillId="0" borderId="0" xfId="0" applyFont="1" applyAlignment="1">
      <alignment horizontal="center"/>
    </xf>
    <xf numFmtId="0" fontId="0" fillId="0" borderId="0" xfId="0" applyAlignment="1">
      <alignment vertical="top"/>
    </xf>
    <xf numFmtId="0" fontId="0" fillId="0" borderId="0" xfId="0" applyAlignment="1">
      <alignment wrapText="1"/>
    </xf>
    <xf numFmtId="0" fontId="20" fillId="4" borderId="0" xfId="0" applyFont="1" applyFill="1"/>
    <xf numFmtId="0" fontId="20" fillId="7" borderId="8" xfId="0" quotePrefix="1" applyFont="1" applyFill="1" applyBorder="1" applyAlignment="1">
      <alignment horizontal="left" wrapText="1"/>
    </xf>
    <xf numFmtId="0" fontId="20" fillId="7" borderId="0" xfId="0" applyFont="1" applyFill="1"/>
    <xf numFmtId="0" fontId="20" fillId="7" borderId="9" xfId="0" applyFont="1" applyFill="1" applyBorder="1"/>
    <xf numFmtId="0" fontId="4" fillId="11" borderId="0" xfId="0" applyFont="1" applyFill="1" applyAlignment="1">
      <alignment horizontal="left" vertical="top" wrapText="1"/>
    </xf>
    <xf numFmtId="0" fontId="0" fillId="11" borderId="0" xfId="0" applyFill="1" applyAlignment="1">
      <alignment vertical="top" wrapText="1"/>
    </xf>
    <xf numFmtId="0" fontId="14" fillId="5" borderId="13" xfId="0" applyFont="1" applyFill="1" applyBorder="1" applyAlignment="1">
      <alignment horizontal="center"/>
    </xf>
    <xf numFmtId="0" fontId="14" fillId="5" borderId="1" xfId="0" applyFont="1" applyFill="1" applyBorder="1" applyAlignment="1">
      <alignment horizontal="center"/>
    </xf>
    <xf numFmtId="0" fontId="14" fillId="5" borderId="14" xfId="0" applyFont="1" applyFill="1" applyBorder="1" applyAlignment="1">
      <alignment horizontal="center"/>
    </xf>
    <xf numFmtId="0" fontId="0" fillId="5" borderId="13" xfId="0" applyFill="1" applyBorder="1" applyAlignment="1">
      <alignment horizontal="center"/>
    </xf>
    <xf numFmtId="0" fontId="0" fillId="5" borderId="1" xfId="0" applyFill="1" applyBorder="1" applyAlignment="1">
      <alignment horizontal="center"/>
    </xf>
    <xf numFmtId="0" fontId="14" fillId="10" borderId="0" xfId="0" applyFont="1" applyFill="1" applyAlignment="1">
      <alignment horizontal="center" wrapText="1"/>
    </xf>
    <xf numFmtId="0" fontId="0" fillId="10" borderId="0" xfId="0" applyFill="1" applyAlignment="1">
      <alignment horizontal="center" wrapText="1"/>
    </xf>
  </cellXfs>
  <cellStyles count="16">
    <cellStyle name="columnheader1" xfId="10" xr:uid="{00000000-0005-0000-0000-000000000000}"/>
    <cellStyle name="Comma" xfId="2" builtinId="3"/>
    <cellStyle name="Comma 2" xfId="12" xr:uid="{EAA45A2C-2F6D-4359-A60A-07BBC5A98FC4}"/>
    <cellStyle name="Comma 2 3" xfId="14" xr:uid="{DC5802DA-666C-4DDD-96B0-21D7E205F314}"/>
    <cellStyle name="Comma 3" xfId="5" xr:uid="{00000000-0005-0000-0000-000002000000}"/>
    <cellStyle name="Hyperlink" xfId="4" builtinId="8"/>
    <cellStyle name="Normal" xfId="0" builtinId="0"/>
    <cellStyle name="Normal 2" xfId="9" xr:uid="{00000000-0005-0000-0000-000005000000}"/>
    <cellStyle name="Normal 2 4" xfId="13" xr:uid="{B504E79E-1E7A-4028-AC15-3DFC3D4C8C8B}"/>
    <cellStyle name="Normal 3" xfId="6" xr:uid="{00000000-0005-0000-0000-000006000000}"/>
    <cellStyle name="Normal 5" xfId="8" xr:uid="{00000000-0005-0000-0000-000007000000}"/>
    <cellStyle name="Normal 5 4" xfId="11" xr:uid="{51F4B9CE-ECEC-4E12-9F04-35E7DE60F5DA}"/>
    <cellStyle name="Normal_2006gfa x" xfId="1" xr:uid="{00000000-0005-0000-0000-000008000000}"/>
    <cellStyle name="Percent" xfId="3" builtinId="5"/>
    <cellStyle name="Percent 2 3" xfId="15" xr:uid="{2052AE4A-1C94-44EF-910B-DC306832A225}"/>
    <cellStyle name="Percent 3" xfId="7" xr:uid="{00000000-0005-0000-0000-00000A000000}"/>
  </cellStyles>
  <dxfs count="5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s>
  <tableStyles count="0" defaultTableStyle="TableStyleMedium9" defaultPivotStyle="PivotStyleLight16"/>
  <colors>
    <mruColors>
      <color rgb="FFB7FFD8"/>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38100</xdr:colOff>
      <xdr:row>10</xdr:row>
      <xdr:rowOff>66678</xdr:rowOff>
    </xdr:from>
    <xdr:to>
      <xdr:col>2</xdr:col>
      <xdr:colOff>1</xdr:colOff>
      <xdr:row>29</xdr:row>
      <xdr:rowOff>152401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1704978"/>
          <a:ext cx="5191126" cy="316229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latin typeface="Arial" panose="020B0604020202020204" pitchFamily="34" charset="0"/>
              <a:cs typeface="Arial" panose="020B0604020202020204" pitchFamily="34" charset="0"/>
            </a:rPr>
            <a:t>This</a:t>
          </a:r>
          <a:r>
            <a:rPr lang="en-US" sz="950" baseline="0">
              <a:latin typeface="Arial" panose="020B0604020202020204" pitchFamily="34" charset="0"/>
              <a:cs typeface="Arial" panose="020B0604020202020204" pitchFamily="34" charset="0"/>
            </a:rPr>
            <a:t> template automatically generates the GASB 75 journal entries (13th period) and certain note disclosures (see below) for the following component units that participate in the Retiree Health Benefit Fund (RHBF): </a:t>
          </a:r>
        </a:p>
        <a:p>
          <a:endParaRPr lang="en-US" sz="800" baseline="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University of North Carolina System (19)</a:t>
          </a: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Community colleges (58)</a:t>
          </a: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N.C. Housing Finance Agency</a:t>
          </a: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State Education Assistance Authority</a:t>
          </a:r>
          <a:endParaRPr lang="en-US" sz="950" baseline="300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State Health Plan</a:t>
          </a:r>
          <a:endParaRPr lang="en-US" sz="950" baseline="300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N.C. State Ports Authority</a:t>
          </a:r>
          <a:endParaRPr lang="en-US" sz="950" baseline="300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N.C. Global TransPark Authority</a:t>
          </a:r>
        </a:p>
        <a:p>
          <a:pPr marL="171450" indent="-171450">
            <a:buFont typeface="Arial" panose="020B0604020202020204" pitchFamily="34" charset="0"/>
            <a:buChar char="•"/>
          </a:pPr>
          <a:endParaRPr lang="en-US" sz="800" baseline="0">
            <a:latin typeface="Arial" panose="020B0604020202020204" pitchFamily="34" charset="0"/>
            <a:cs typeface="Arial" panose="020B0604020202020204" pitchFamily="34" charset="0"/>
          </a:endParaRPr>
        </a:p>
        <a:p>
          <a:pPr marL="0" indent="0">
            <a:buFontTx/>
            <a:buNone/>
          </a:pPr>
          <a:r>
            <a:rPr lang="en-US" sz="950" baseline="0">
              <a:latin typeface="Arial" panose="020B0604020202020204" pitchFamily="34" charset="0"/>
              <a:cs typeface="Arial" panose="020B0604020202020204" pitchFamily="34" charset="0"/>
            </a:rPr>
            <a:t>This template provides note disclosures required by GASB 75, paragraphs 96h(1) thru (5), 96i(1), and 96i(2). It also provides information needed to complete CAFR worksheeet 310.</a:t>
          </a:r>
        </a:p>
        <a:p>
          <a:endParaRPr lang="en-US" sz="950" baseline="0">
            <a:latin typeface="Arial" panose="020B0604020202020204" pitchFamily="34" charset="0"/>
            <a:cs typeface="Arial" panose="020B0604020202020204" pitchFamily="34" charset="0"/>
          </a:endParaRPr>
        </a:p>
        <a:p>
          <a:r>
            <a:rPr lang="en-US" sz="950" baseline="0">
              <a:latin typeface="Arial" panose="020B0604020202020204" pitchFamily="34" charset="0"/>
              <a:cs typeface="Arial" panose="020B0604020202020204" pitchFamily="34" charset="0"/>
            </a:rPr>
            <a:t>The OPEB data in this template was obtained from the Department of State Treasurer. The Office of the State Auditor (OSA) has completed a financial audit of the </a:t>
          </a:r>
          <a:r>
            <a:rPr lang="en-US" sz="950" baseline="0">
              <a:solidFill>
                <a:sysClr val="windowText" lastClr="000000"/>
              </a:solidFill>
              <a:latin typeface="Arial" panose="020B0604020202020204" pitchFamily="34" charset="0"/>
              <a:cs typeface="Arial" panose="020B0604020202020204" pitchFamily="34" charset="0"/>
            </a:rPr>
            <a:t>RHBF</a:t>
          </a:r>
          <a:r>
            <a:rPr lang="en-US" sz="950" baseline="0">
              <a:latin typeface="Arial" panose="020B0604020202020204" pitchFamily="34" charset="0"/>
              <a:cs typeface="Arial" panose="020B0604020202020204" pitchFamily="34" charset="0"/>
            </a:rPr>
            <a:t> Schedule of Employer Allocations and the </a:t>
          </a:r>
          <a:r>
            <a:rPr lang="en-US" sz="950" baseline="0">
              <a:solidFill>
                <a:sysClr val="windowText" lastClr="000000"/>
              </a:solidFill>
              <a:latin typeface="Arial" panose="020B0604020202020204" pitchFamily="34" charset="0"/>
              <a:cs typeface="Arial" panose="020B0604020202020204" pitchFamily="34" charset="0"/>
            </a:rPr>
            <a:t>RHBF</a:t>
          </a:r>
          <a:r>
            <a:rPr lang="en-US" sz="950" baseline="0">
              <a:latin typeface="Arial" panose="020B0604020202020204" pitchFamily="34" charset="0"/>
              <a:cs typeface="Arial" panose="020B0604020202020204" pitchFamily="34" charset="0"/>
            </a:rPr>
            <a:t> Schedule of OPEB Amounts by Employer for the year ended June 30, 2022. Component units will report the FY2022 OPEB allocations for DIPNC in their FY2023 financial statements. </a:t>
          </a:r>
          <a:r>
            <a:rPr lang="en-US" sz="950" b="1" u="sng" baseline="0">
              <a:latin typeface="Arial" panose="020B0604020202020204" pitchFamily="34" charset="0"/>
              <a:cs typeface="Arial" panose="020B0604020202020204" pitchFamily="34" charset="0"/>
            </a:rPr>
            <a:t>Each component unit should verify that the OPEB amounts provided by this template agree with the OPEB schedules in OSA's audit report (see link below)</a:t>
          </a:r>
          <a:r>
            <a:rPr lang="en-US" sz="950" b="1" baseline="0">
              <a:latin typeface="Arial" panose="020B0604020202020204" pitchFamily="34" charset="0"/>
              <a:cs typeface="Arial" panose="020B0604020202020204" pitchFamily="34" charset="0"/>
            </a:rPr>
            <a:t>.</a:t>
          </a:r>
        </a:p>
        <a:p>
          <a:endParaRPr lang="en-US" sz="1000" baseline="0">
            <a:latin typeface="Arial" panose="020B0604020202020204" pitchFamily="34" charset="0"/>
            <a:cs typeface="Arial" panose="020B0604020202020204" pitchFamily="34" charset="0"/>
          </a:endParaRPr>
        </a:p>
        <a:p>
          <a:endParaRPr lang="en-US" sz="900" i="1"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iles.nc.gov/nc-auditor/documents/2023-03/FIN-2022-3400-RHBF.pdf" TargetMode="External"/><Relationship Id="rId2" Type="http://schemas.openxmlformats.org/officeDocument/2006/relationships/hyperlink" Target="https://files.nc.gov/nc-auditor/documents/2023-03/FIN-2022-3400-RHBF.pdf?VersionId=8uERqAn7sQBWthu19eFjMs1NcOcUuoby" TargetMode="External"/><Relationship Id="rId1" Type="http://schemas.openxmlformats.org/officeDocument/2006/relationships/hyperlink" Target="mailto:virginia.sisson@osc.nc.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9"/>
  <sheetViews>
    <sheetView showGridLines="0" tabSelected="1" zoomScaleNormal="100" workbookViewId="0">
      <selection activeCell="B5" sqref="B5"/>
    </sheetView>
  </sheetViews>
  <sheetFormatPr defaultRowHeight="13.2" x14ac:dyDescent="0.25"/>
  <cols>
    <col min="1" max="1" width="24.77734375" customWidth="1"/>
    <col min="2" max="2" width="53.77734375" customWidth="1"/>
    <col min="3" max="3" width="46.77734375" customWidth="1"/>
  </cols>
  <sheetData>
    <row r="1" spans="1:4" x14ac:dyDescent="0.25">
      <c r="A1" s="54" t="s">
        <v>233</v>
      </c>
      <c r="B1" s="18"/>
      <c r="C1" s="18"/>
      <c r="D1" s="2"/>
    </row>
    <row r="2" spans="1:4" x14ac:dyDescent="0.25">
      <c r="A2" s="54" t="s">
        <v>163</v>
      </c>
      <c r="B2" s="18"/>
    </row>
    <row r="3" spans="1:4" x14ac:dyDescent="0.25">
      <c r="A3" s="53" t="s">
        <v>514</v>
      </c>
      <c r="B3" s="18"/>
      <c r="C3" s="18"/>
    </row>
    <row r="4" spans="1:4" ht="14.1" customHeight="1" x14ac:dyDescent="0.3">
      <c r="A4" s="53"/>
      <c r="B4" s="18"/>
      <c r="C4" s="56"/>
    </row>
    <row r="5" spans="1:4" ht="13.8" x14ac:dyDescent="0.3">
      <c r="A5" s="57" t="s">
        <v>141</v>
      </c>
      <c r="B5" s="88" t="s">
        <v>37</v>
      </c>
      <c r="C5" s="152" t="s">
        <v>180</v>
      </c>
    </row>
    <row r="6" spans="1:4" ht="12.75" customHeight="1" x14ac:dyDescent="0.25">
      <c r="A6" s="18"/>
      <c r="B6" s="18"/>
      <c r="C6" s="58"/>
    </row>
    <row r="7" spans="1:4" ht="12.75" customHeight="1" x14ac:dyDescent="0.3">
      <c r="A7" s="263" t="s">
        <v>528</v>
      </c>
      <c r="B7" s="263"/>
      <c r="C7" s="153"/>
    </row>
    <row r="8" spans="1:4" ht="12.75" customHeight="1" x14ac:dyDescent="0.25">
      <c r="A8" s="18"/>
      <c r="B8" s="18"/>
      <c r="C8" s="58"/>
    </row>
    <row r="9" spans="1:4" x14ac:dyDescent="0.25">
      <c r="A9" s="91" t="s">
        <v>234</v>
      </c>
      <c r="B9" s="18">
        <f>VLOOKUP(B5,Data!A:B,2,FALSE)</f>
        <v>20100</v>
      </c>
      <c r="C9" s="59"/>
    </row>
    <row r="10" spans="1:4" ht="13.8" hidden="1" x14ac:dyDescent="0.3">
      <c r="A10" s="91" t="s">
        <v>158</v>
      </c>
      <c r="B10" s="18">
        <f>VLOOKUP(B5,Data!A:X,24,FALSE)</f>
        <v>1</v>
      </c>
      <c r="C10" s="151" t="s">
        <v>179</v>
      </c>
    </row>
    <row r="11" spans="1:4" x14ac:dyDescent="0.25">
      <c r="A11" s="18"/>
      <c r="B11" s="18"/>
      <c r="C11" s="149"/>
    </row>
    <row r="12" spans="1:4" x14ac:dyDescent="0.25">
      <c r="A12" s="18"/>
      <c r="B12" s="18"/>
      <c r="C12" s="18"/>
    </row>
    <row r="13" spans="1:4" x14ac:dyDescent="0.25">
      <c r="A13" s="18"/>
      <c r="B13" s="18"/>
      <c r="C13" s="18"/>
    </row>
    <row r="14" spans="1:4" x14ac:dyDescent="0.25">
      <c r="A14" s="18"/>
      <c r="B14" s="18"/>
      <c r="C14" s="18"/>
    </row>
    <row r="15" spans="1:4" x14ac:dyDescent="0.25">
      <c r="A15" s="18"/>
      <c r="B15" s="18"/>
      <c r="C15" s="18"/>
    </row>
    <row r="16" spans="1:4" x14ac:dyDescent="0.25">
      <c r="A16" s="18"/>
      <c r="B16" s="18"/>
      <c r="C16" s="18"/>
    </row>
    <row r="17" spans="1:3" x14ac:dyDescent="0.25">
      <c r="A17" s="18"/>
      <c r="B17" s="18"/>
      <c r="C17" s="18"/>
    </row>
    <row r="18" spans="1:3" x14ac:dyDescent="0.25">
      <c r="A18" s="18"/>
      <c r="B18" s="18"/>
      <c r="C18" s="18"/>
    </row>
    <row r="19" spans="1:3" x14ac:dyDescent="0.25">
      <c r="A19" s="18"/>
      <c r="B19" s="18"/>
      <c r="C19" s="18"/>
    </row>
    <row r="20" spans="1:3" x14ac:dyDescent="0.25">
      <c r="A20" s="18"/>
      <c r="B20" s="18"/>
      <c r="C20" s="18"/>
    </row>
    <row r="21" spans="1:3" x14ac:dyDescent="0.25">
      <c r="A21" s="18"/>
      <c r="B21" s="18"/>
      <c r="C21" s="18"/>
    </row>
    <row r="22" spans="1:3" x14ac:dyDescent="0.25">
      <c r="A22" s="18"/>
      <c r="B22" s="18"/>
      <c r="C22" s="18"/>
    </row>
    <row r="23" spans="1:3" x14ac:dyDescent="0.25">
      <c r="A23" s="18"/>
      <c r="B23" s="18"/>
      <c r="C23" s="18"/>
    </row>
    <row r="24" spans="1:3" x14ac:dyDescent="0.25">
      <c r="A24" s="18"/>
      <c r="B24" s="18"/>
      <c r="C24" s="18"/>
    </row>
    <row r="25" spans="1:3" x14ac:dyDescent="0.25">
      <c r="A25" s="18"/>
      <c r="B25" s="18"/>
      <c r="C25" s="18"/>
    </row>
    <row r="26" spans="1:3" x14ac:dyDescent="0.25">
      <c r="A26" s="18"/>
      <c r="B26" s="18"/>
      <c r="C26" s="18"/>
    </row>
    <row r="27" spans="1:3" x14ac:dyDescent="0.25">
      <c r="A27" s="18"/>
      <c r="B27" s="18"/>
      <c r="C27" s="18"/>
    </row>
    <row r="28" spans="1:3" x14ac:dyDescent="0.25">
      <c r="A28" s="18"/>
      <c r="B28" s="18"/>
      <c r="C28" s="18"/>
    </row>
    <row r="29" spans="1:3" x14ac:dyDescent="0.25">
      <c r="A29" s="18"/>
      <c r="B29" s="18"/>
      <c r="C29" s="18"/>
    </row>
    <row r="30" spans="1:3" x14ac:dyDescent="0.25">
      <c r="A30" s="18"/>
      <c r="B30" s="18"/>
      <c r="C30" s="18"/>
    </row>
    <row r="31" spans="1:3" x14ac:dyDescent="0.25">
      <c r="A31" s="18"/>
      <c r="B31" s="18"/>
      <c r="C31" s="18"/>
    </row>
    <row r="32" spans="1:3" ht="12.75" customHeight="1" x14ac:dyDescent="0.25">
      <c r="A32" s="135" t="s">
        <v>167</v>
      </c>
      <c r="B32" s="18"/>
      <c r="C32" s="18"/>
    </row>
    <row r="33" spans="1:3" ht="14.1" customHeight="1" x14ac:dyDescent="0.25">
      <c r="A33" s="136" t="s">
        <v>247</v>
      </c>
      <c r="B33" s="18"/>
      <c r="C33" s="173"/>
    </row>
    <row r="34" spans="1:3" ht="12.75" customHeight="1" x14ac:dyDescent="0.25">
      <c r="A34" s="264" t="s">
        <v>527</v>
      </c>
      <c r="B34" s="264"/>
      <c r="C34" s="128"/>
    </row>
    <row r="35" spans="1:3" ht="15.75" customHeight="1" x14ac:dyDescent="0.25">
      <c r="A35" s="125"/>
      <c r="B35" s="18"/>
      <c r="C35" s="18"/>
    </row>
    <row r="36" spans="1:3" ht="12" customHeight="1" x14ac:dyDescent="0.25">
      <c r="A36" s="260" t="s">
        <v>191</v>
      </c>
      <c r="B36" s="260"/>
      <c r="C36" s="18"/>
    </row>
    <row r="37" spans="1:3" ht="12" customHeight="1" x14ac:dyDescent="0.25">
      <c r="A37" s="260" t="s">
        <v>194</v>
      </c>
      <c r="B37" s="260"/>
      <c r="C37" s="18"/>
    </row>
    <row r="38" spans="1:3" ht="12" customHeight="1" x14ac:dyDescent="0.25">
      <c r="A38" s="261" t="s">
        <v>195</v>
      </c>
      <c r="B38" s="262"/>
      <c r="C38" s="18"/>
    </row>
    <row r="39" spans="1:3" x14ac:dyDescent="0.25">
      <c r="A39" s="4"/>
    </row>
  </sheetData>
  <sheetProtection algorithmName="SHA-512" hashValue="+zOnPMnkDURRRta90qqk7JJzDCHqtJDySzbi1btRhnE33zSE96JT9G9/i0GYq4Kjl5KAg8YgnE9eeqmY3Ry6Qg==" saltValue="ThLdKRNW3IEiD4Wn3+atTw==" spinCount="100000" sheet="1" objects="1" scenarios="1"/>
  <mergeCells count="5">
    <mergeCell ref="A36:B36"/>
    <mergeCell ref="A37:B37"/>
    <mergeCell ref="A38:B38"/>
    <mergeCell ref="A7:B7"/>
    <mergeCell ref="A34:B34"/>
  </mergeCells>
  <hyperlinks>
    <hyperlink ref="A38" r:id="rId1" xr:uid="{00000000-0004-0000-0000-000000000000}"/>
    <hyperlink ref="A34:B34" r:id="rId2" display="https://files.nc.gov/nc-auditor/documents/2023-03/FIN-2022-3400-RHBF.pdf?VersionId=8uERqAn7sQBWthu19eFjMs1NcOcUuoby" xr:uid="{EE23550D-1410-4091-9E42-9FF12C1BEAB2}"/>
    <hyperlink ref="A34" r:id="rId3" xr:uid="{10E8E17B-5900-47B7-A66B-3FA8C4E168E6}"/>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Data!$A$4:$A$88</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54"/>
  <sheetViews>
    <sheetView showGridLines="0" zoomScaleNormal="100" workbookViewId="0"/>
  </sheetViews>
  <sheetFormatPr defaultColWidth="9.21875" defaultRowHeight="13.2" x14ac:dyDescent="0.25"/>
  <cols>
    <col min="1" max="1" width="4.44140625" style="18" customWidth="1"/>
    <col min="2" max="2" width="50.77734375" style="18" customWidth="1"/>
    <col min="3" max="3" width="7.77734375" style="18" customWidth="1"/>
    <col min="4" max="4" width="3.77734375" style="18" hidden="1" customWidth="1"/>
    <col min="5" max="6" width="10.5546875" style="18" bestFit="1" customWidth="1"/>
    <col min="7" max="7" width="40.77734375" style="18" customWidth="1"/>
    <col min="8" max="8" width="16.21875" style="18" customWidth="1"/>
    <col min="9" max="9" width="14" style="18" customWidth="1"/>
    <col min="10" max="10" width="88.21875" style="18" customWidth="1"/>
    <col min="11" max="16384" width="9.21875" style="18"/>
  </cols>
  <sheetData>
    <row r="1" spans="1:9" x14ac:dyDescent="0.25">
      <c r="A1" s="53" t="str">
        <f>Info!B5</f>
        <v>APPALACHIAN STATE UNIVERSITY</v>
      </c>
    </row>
    <row r="2" spans="1:9" x14ac:dyDescent="0.25">
      <c r="A2" s="53" t="s">
        <v>235</v>
      </c>
    </row>
    <row r="3" spans="1:9" x14ac:dyDescent="0.25">
      <c r="A3" s="53" t="s">
        <v>514</v>
      </c>
    </row>
    <row r="4" spans="1:9" ht="10.050000000000001" customHeight="1" x14ac:dyDescent="0.3">
      <c r="A4" s="53"/>
      <c r="G4" s="56"/>
    </row>
    <row r="5" spans="1:9" ht="12" customHeight="1" x14ac:dyDescent="0.3">
      <c r="A5" s="29"/>
      <c r="B5" s="29"/>
      <c r="C5" s="35" t="str">
        <f>IF(Info!B$10=2,"Colleague","NCAS")</f>
        <v>NCAS</v>
      </c>
      <c r="D5" s="29"/>
      <c r="E5" s="29"/>
      <c r="F5" s="29"/>
      <c r="G5" s="29"/>
      <c r="H5" s="29"/>
      <c r="I5" s="29"/>
    </row>
    <row r="6" spans="1:9" ht="12" customHeight="1" x14ac:dyDescent="0.3">
      <c r="A6" s="30" t="s">
        <v>2</v>
      </c>
      <c r="B6" s="30" t="s">
        <v>142</v>
      </c>
      <c r="C6" s="31" t="s">
        <v>129</v>
      </c>
      <c r="D6" s="31" t="s">
        <v>14</v>
      </c>
      <c r="E6" s="31" t="s">
        <v>0</v>
      </c>
      <c r="F6" s="31" t="s">
        <v>1</v>
      </c>
      <c r="G6" s="31" t="s">
        <v>23</v>
      </c>
      <c r="H6" s="31" t="s">
        <v>3</v>
      </c>
      <c r="I6" s="31" t="s">
        <v>22</v>
      </c>
    </row>
    <row r="7" spans="1:9" ht="3" customHeight="1" x14ac:dyDescent="0.3">
      <c r="A7" s="32"/>
      <c r="B7" s="33"/>
      <c r="C7" s="34"/>
      <c r="D7" s="34"/>
      <c r="E7" s="31"/>
      <c r="F7" s="31"/>
      <c r="G7" s="29"/>
      <c r="H7" s="29"/>
      <c r="I7" s="29"/>
    </row>
    <row r="8" spans="1:9" ht="13.8" x14ac:dyDescent="0.3">
      <c r="A8" s="29"/>
      <c r="B8" s="17" t="s">
        <v>174</v>
      </c>
      <c r="C8" s="34"/>
      <c r="D8" s="34"/>
      <c r="E8" s="35"/>
      <c r="F8" s="35"/>
      <c r="G8" s="33"/>
      <c r="H8" s="33"/>
      <c r="I8" s="29"/>
    </row>
    <row r="9" spans="1:9" ht="4.05" customHeight="1" x14ac:dyDescent="0.3">
      <c r="A9" s="29"/>
      <c r="B9" s="36"/>
      <c r="C9" s="34"/>
      <c r="D9" s="34"/>
      <c r="E9" s="35"/>
      <c r="F9" s="35"/>
      <c r="G9" s="33"/>
      <c r="H9" s="33"/>
      <c r="I9" s="29"/>
    </row>
    <row r="10" spans="1:9" ht="12.6" customHeight="1" x14ac:dyDescent="0.3">
      <c r="A10" s="29"/>
      <c r="B10" s="33" t="s">
        <v>196</v>
      </c>
      <c r="C10" s="34"/>
      <c r="D10" s="34">
        <v>4</v>
      </c>
      <c r="E10" s="38">
        <f>VLOOKUP(Info!B9,Data!B:AU,32,FALSE)</f>
        <v>13273284</v>
      </c>
      <c r="F10" s="35"/>
      <c r="G10" s="157" t="s">
        <v>25</v>
      </c>
      <c r="H10" s="33"/>
      <c r="I10" s="29"/>
    </row>
    <row r="11" spans="1:9" ht="12.6" customHeight="1" x14ac:dyDescent="0.3">
      <c r="A11" s="29"/>
      <c r="B11" s="33" t="s">
        <v>196</v>
      </c>
      <c r="C11" s="34"/>
      <c r="D11" s="34">
        <v>2</v>
      </c>
      <c r="E11" s="38">
        <f>VLOOKUP(Info!B9,Data!B:AU,31,FALSE)</f>
        <v>26217729</v>
      </c>
      <c r="F11" s="35"/>
      <c r="G11" s="157" t="s">
        <v>133</v>
      </c>
      <c r="H11" s="33"/>
      <c r="I11" s="29"/>
    </row>
    <row r="12" spans="1:9" ht="12.6" customHeight="1" x14ac:dyDescent="0.3">
      <c r="A12" s="29"/>
      <c r="B12" s="33" t="s">
        <v>196</v>
      </c>
      <c r="C12" s="34"/>
      <c r="D12" s="34">
        <v>3</v>
      </c>
      <c r="E12" s="38">
        <f>VLOOKUP(Info!B9,Data!B:AU,30,FALSE)</f>
        <v>0</v>
      </c>
      <c r="F12" s="35"/>
      <c r="G12" s="157" t="s">
        <v>26</v>
      </c>
      <c r="H12" s="33"/>
      <c r="I12" s="29"/>
    </row>
    <row r="13" spans="1:9" ht="12.6" customHeight="1" x14ac:dyDescent="0.3">
      <c r="A13" s="37"/>
      <c r="B13" s="33" t="s">
        <v>196</v>
      </c>
      <c r="C13" s="34"/>
      <c r="D13" s="34">
        <v>1</v>
      </c>
      <c r="E13" s="38">
        <f>VLOOKUP(Info!B9,Data!B:AU,29,FALSE)</f>
        <v>1892445</v>
      </c>
      <c r="F13" s="38"/>
      <c r="G13" s="157" t="s">
        <v>24</v>
      </c>
      <c r="H13" s="157"/>
      <c r="I13" s="157"/>
    </row>
    <row r="14" spans="1:9" ht="12.6" customHeight="1" x14ac:dyDescent="0.3">
      <c r="A14" s="37"/>
      <c r="B14" s="33" t="s">
        <v>196</v>
      </c>
      <c r="C14" s="34"/>
      <c r="D14" s="34"/>
      <c r="E14" s="38">
        <f>VLOOKUP(Info!B9,Data!B:AU,2,FALSE)+VLOOKUP(Info!B9,Data!B:AU,21,FALSE)</f>
        <v>12731234</v>
      </c>
      <c r="F14" s="38"/>
      <c r="G14" s="158" t="s">
        <v>515</v>
      </c>
      <c r="H14" s="157"/>
      <c r="I14" s="157" t="s">
        <v>135</v>
      </c>
    </row>
    <row r="15" spans="1:9" ht="13.8" x14ac:dyDescent="0.3">
      <c r="A15" s="37"/>
      <c r="B15" s="39" t="s">
        <v>197</v>
      </c>
      <c r="C15" s="34"/>
      <c r="D15" s="34"/>
      <c r="E15" s="38"/>
      <c r="F15" s="38">
        <f>VLOOKUP(Info!B9,Data!B:AU,28,FALSE)</f>
        <v>320543876</v>
      </c>
      <c r="G15" s="157" t="s">
        <v>199</v>
      </c>
      <c r="H15" s="157"/>
      <c r="I15" s="157"/>
    </row>
    <row r="16" spans="1:9" ht="13.8" x14ac:dyDescent="0.3">
      <c r="A16" s="37"/>
      <c r="B16" s="39" t="s">
        <v>198</v>
      </c>
      <c r="C16" s="34"/>
      <c r="D16" s="34">
        <v>6</v>
      </c>
      <c r="E16" s="38"/>
      <c r="F16" s="38">
        <f>VLOOKUP(Info!B9,Data!B:AU,33,FALSE)</f>
        <v>5966814</v>
      </c>
      <c r="G16" s="157" t="s">
        <v>24</v>
      </c>
      <c r="H16" s="157"/>
      <c r="I16" s="157"/>
    </row>
    <row r="17" spans="1:9" ht="13.8" x14ac:dyDescent="0.3">
      <c r="A17" s="37"/>
      <c r="B17" s="39" t="s">
        <v>198</v>
      </c>
      <c r="C17" s="34"/>
      <c r="D17" s="34">
        <v>8</v>
      </c>
      <c r="E17" s="38"/>
      <c r="F17" s="38">
        <f>VLOOKUP(Info!B9,Data!B:AU,34,FALSE)</f>
        <v>163971</v>
      </c>
      <c r="G17" s="157" t="s">
        <v>26</v>
      </c>
      <c r="H17" s="157"/>
      <c r="I17" s="157"/>
    </row>
    <row r="18" spans="1:9" ht="13.8" x14ac:dyDescent="0.3">
      <c r="A18" s="37"/>
      <c r="B18" s="39" t="s">
        <v>198</v>
      </c>
      <c r="C18" s="34"/>
      <c r="D18" s="34">
        <v>7</v>
      </c>
      <c r="E18" s="38"/>
      <c r="F18" s="38">
        <f>VLOOKUP(Info!B9,Data!B:AU,35,FALSE)</f>
        <v>77899128</v>
      </c>
      <c r="G18" s="157" t="s">
        <v>133</v>
      </c>
      <c r="H18" s="157"/>
      <c r="I18" s="157"/>
    </row>
    <row r="19" spans="1:9" ht="13.8" x14ac:dyDescent="0.3">
      <c r="A19" s="37"/>
      <c r="B19" s="39" t="s">
        <v>198</v>
      </c>
      <c r="C19" s="34"/>
      <c r="D19" s="34">
        <v>9</v>
      </c>
      <c r="E19" s="38"/>
      <c r="F19" s="38">
        <f>VLOOKUP(Info!B9,Data!B:AU,36,FALSE)</f>
        <v>8286184</v>
      </c>
      <c r="G19" s="157" t="s">
        <v>25</v>
      </c>
      <c r="H19" s="157"/>
      <c r="I19" s="157"/>
    </row>
    <row r="20" spans="1:9" ht="5.0999999999999996" customHeight="1" x14ac:dyDescent="0.3">
      <c r="A20" s="37"/>
      <c r="B20" s="40"/>
      <c r="C20" s="35"/>
      <c r="D20" s="35"/>
      <c r="E20" s="38"/>
      <c r="F20" s="38"/>
      <c r="G20" s="157"/>
      <c r="H20" s="29"/>
      <c r="I20" s="29"/>
    </row>
    <row r="21" spans="1:9" ht="12.6" customHeight="1" x14ac:dyDescent="0.3">
      <c r="A21" s="37"/>
      <c r="B21" s="187" t="s">
        <v>516</v>
      </c>
      <c r="C21" s="35"/>
      <c r="D21" s="35"/>
      <c r="E21" s="192">
        <v>0</v>
      </c>
      <c r="F21" s="38"/>
      <c r="G21" s="158" t="s">
        <v>497</v>
      </c>
      <c r="H21" s="29"/>
      <c r="I21" s="29"/>
    </row>
    <row r="22" spans="1:9" ht="13.8" x14ac:dyDescent="0.3">
      <c r="A22" s="37"/>
      <c r="B22" s="17" t="s">
        <v>138</v>
      </c>
      <c r="C22" s="29"/>
      <c r="D22" s="29"/>
      <c r="E22" s="41"/>
      <c r="F22" s="41"/>
      <c r="G22" s="157"/>
      <c r="H22" s="157"/>
      <c r="I22" s="29"/>
    </row>
    <row r="23" spans="1:9" ht="3" customHeight="1" x14ac:dyDescent="0.3">
      <c r="A23" s="37"/>
      <c r="B23" s="33"/>
      <c r="C23" s="34"/>
      <c r="D23" s="34"/>
      <c r="E23" s="38"/>
      <c r="F23" s="38"/>
      <c r="G23" s="29"/>
      <c r="H23" s="29"/>
      <c r="I23" s="29"/>
    </row>
    <row r="24" spans="1:9" ht="13.8" x14ac:dyDescent="0.3">
      <c r="A24" s="42"/>
      <c r="B24" s="43" t="s">
        <v>178</v>
      </c>
      <c r="C24" s="30"/>
      <c r="D24" s="30"/>
      <c r="E24" s="38"/>
      <c r="F24" s="38"/>
      <c r="G24" s="29"/>
      <c r="H24" s="29"/>
      <c r="I24" s="29"/>
    </row>
    <row r="25" spans="1:9" ht="13.5" customHeight="1" x14ac:dyDescent="0.3">
      <c r="A25" s="37">
        <v>1</v>
      </c>
      <c r="B25" s="33" t="s">
        <v>200</v>
      </c>
      <c r="C25" s="34">
        <f>IF(Info!B$10=2,Summary!R9,Summary!Q9)</f>
        <v>129720</v>
      </c>
      <c r="D25" s="30"/>
      <c r="E25" s="38">
        <f>IF(E21=0,0,IF(E21&lt;E14,E14-E21,0))</f>
        <v>0</v>
      </c>
      <c r="F25" s="38"/>
      <c r="G25" s="157" t="s">
        <v>517</v>
      </c>
      <c r="H25" s="157"/>
      <c r="I25" s="157"/>
    </row>
    <row r="26" spans="1:9" ht="13.5" customHeight="1" x14ac:dyDescent="0.3">
      <c r="A26" s="42"/>
      <c r="B26" s="33" t="s">
        <v>175</v>
      </c>
      <c r="C26" s="34">
        <f>IF(Info!B$10=2,Summary!R14,Summary!Q14)</f>
        <v>535900</v>
      </c>
      <c r="D26" s="30"/>
      <c r="E26" s="38">
        <f>F27</f>
        <v>0</v>
      </c>
      <c r="F26" s="38"/>
      <c r="G26" s="157" t="s">
        <v>15</v>
      </c>
      <c r="H26" s="157" t="s">
        <v>190</v>
      </c>
      <c r="I26" s="29"/>
    </row>
    <row r="27" spans="1:9" ht="13.5" customHeight="1" x14ac:dyDescent="0.3">
      <c r="A27" s="42"/>
      <c r="B27" s="39" t="s">
        <v>200</v>
      </c>
      <c r="C27" s="34">
        <f>IF(Info!B$10=2,Summary!R9,Summary!Q9)</f>
        <v>129720</v>
      </c>
      <c r="D27" s="30"/>
      <c r="E27" s="38"/>
      <c r="F27" s="38">
        <f>IF(E21=0,0,IF(E21&gt;E14,E21-E14,0))</f>
        <v>0</v>
      </c>
      <c r="G27" s="157" t="s">
        <v>517</v>
      </c>
      <c r="H27" s="157"/>
      <c r="I27" s="29"/>
    </row>
    <row r="28" spans="1:9" ht="13.5" customHeight="1" x14ac:dyDescent="0.3">
      <c r="A28" s="42"/>
      <c r="B28" s="39" t="s">
        <v>176</v>
      </c>
      <c r="C28" s="34">
        <f>IF(Info!B$10=2,Summary!R15,Summary!Q15)</f>
        <v>437995</v>
      </c>
      <c r="D28" s="30"/>
      <c r="E28" s="148"/>
      <c r="F28" s="148">
        <f>E25</f>
        <v>0</v>
      </c>
      <c r="G28" s="157" t="s">
        <v>15</v>
      </c>
      <c r="H28" s="157" t="s">
        <v>190</v>
      </c>
      <c r="I28" s="29"/>
    </row>
    <row r="29" spans="1:9" ht="13.8" x14ac:dyDescent="0.3">
      <c r="A29" s="42"/>
      <c r="B29" s="39" t="s">
        <v>518</v>
      </c>
      <c r="C29" s="30"/>
      <c r="D29" s="30"/>
      <c r="E29" s="45">
        <f>SUM(E25:E28)</f>
        <v>0</v>
      </c>
      <c r="F29" s="45">
        <f>SUM(F25:F28)</f>
        <v>0</v>
      </c>
      <c r="G29" s="29"/>
      <c r="H29" s="29"/>
      <c r="I29" s="29"/>
    </row>
    <row r="30" spans="1:9" ht="3" customHeight="1" x14ac:dyDescent="0.3">
      <c r="A30" s="42"/>
      <c r="B30" s="43"/>
      <c r="C30" s="30"/>
      <c r="D30" s="30"/>
      <c r="E30" s="38"/>
      <c r="F30" s="38"/>
      <c r="G30" s="29"/>
      <c r="H30" s="29"/>
      <c r="I30" s="29"/>
    </row>
    <row r="31" spans="1:9" ht="13.8" x14ac:dyDescent="0.3">
      <c r="A31" s="42"/>
      <c r="B31" s="43" t="s">
        <v>201</v>
      </c>
      <c r="C31" s="30"/>
      <c r="D31" s="30"/>
      <c r="E31" s="38"/>
      <c r="F31" s="38"/>
      <c r="G31" s="29"/>
      <c r="H31" s="29"/>
      <c r="I31" s="29"/>
    </row>
    <row r="32" spans="1:9" ht="13.8" x14ac:dyDescent="0.3">
      <c r="A32" s="37"/>
      <c r="B32" s="33" t="s">
        <v>203</v>
      </c>
      <c r="C32" s="34">
        <f>IF(Info!B$10=2,Summary!R8,Summary!Q8)</f>
        <v>229160</v>
      </c>
      <c r="D32" s="34"/>
      <c r="E32" s="38">
        <f>IF(VLOOKUP(Info!B9,Data!B:AU,44,FALSE)&lt;0, -VLOOKUP(Info!B9,Data!B:AU,44,FALSE),0)</f>
        <v>76703515</v>
      </c>
      <c r="F32" s="38"/>
      <c r="G32" s="157" t="s">
        <v>208</v>
      </c>
      <c r="H32" s="157" t="s">
        <v>155</v>
      </c>
      <c r="I32" s="159"/>
    </row>
    <row r="33" spans="1:10" ht="13.8" x14ac:dyDescent="0.3">
      <c r="A33" s="37"/>
      <c r="B33" s="33" t="s">
        <v>196</v>
      </c>
      <c r="C33" s="34">
        <f>IF(Info!B$10=2,Summary!R9,Summary!Q9)</f>
        <v>129720</v>
      </c>
      <c r="D33" s="34">
        <v>1</v>
      </c>
      <c r="E33" s="38">
        <f>IF(VLOOKUP(Info!B9,Data!B:AU,40,FALSE)&gt;0, VLOOKUP(Info!B9,Data!B:AU,40,FALSE),0)</f>
        <v>474922</v>
      </c>
      <c r="F33" s="38"/>
      <c r="G33" s="157" t="s">
        <v>24</v>
      </c>
      <c r="H33" s="157" t="s">
        <v>136</v>
      </c>
      <c r="I33" s="157"/>
    </row>
    <row r="34" spans="1:10" ht="13.8" x14ac:dyDescent="0.3">
      <c r="A34" s="37">
        <v>2</v>
      </c>
      <c r="B34" s="33" t="s">
        <v>198</v>
      </c>
      <c r="C34" s="34">
        <f>IF(Info!B$10=2,Summary!R10,Summary!Q10)</f>
        <v>229220</v>
      </c>
      <c r="D34" s="34">
        <v>6</v>
      </c>
      <c r="E34" s="38">
        <f>IF(VLOOKUP(Info!B9,Data!B:AU,41,FALSE)&lt;0, -VLOOKUP(Info!B9,Data!B:AU,41,FALSE),0)</f>
        <v>5292083</v>
      </c>
      <c r="F34" s="38"/>
      <c r="G34" s="157" t="s">
        <v>24</v>
      </c>
      <c r="H34" s="157" t="s">
        <v>136</v>
      </c>
      <c r="I34" s="157"/>
    </row>
    <row r="35" spans="1:10" ht="13.8" x14ac:dyDescent="0.3">
      <c r="A35" s="29"/>
      <c r="B35" s="33" t="s">
        <v>196</v>
      </c>
      <c r="C35" s="34">
        <f>IF(Info!B$10=2,Summary!R9,Summary!Q9)</f>
        <v>129720</v>
      </c>
      <c r="D35" s="34">
        <v>2</v>
      </c>
      <c r="E35" s="38">
        <f>IF(VLOOKUP(Info!B9,Data!B:AU,42,FALSE)&gt;0, VLOOKUP(Info!B9,Data!B:AU,42,FALSE),0)</f>
        <v>0</v>
      </c>
      <c r="F35" s="29"/>
      <c r="G35" s="157" t="s">
        <v>133</v>
      </c>
      <c r="H35" s="157" t="s">
        <v>185</v>
      </c>
      <c r="I35" s="159"/>
    </row>
    <row r="36" spans="1:10" ht="13.8" x14ac:dyDescent="0.3">
      <c r="A36" s="29"/>
      <c r="B36" s="33" t="s">
        <v>198</v>
      </c>
      <c r="C36" s="34">
        <f>IF(Info!B$10=2,Summary!R10,Summary!Q10)</f>
        <v>229220</v>
      </c>
      <c r="D36" s="34">
        <v>7</v>
      </c>
      <c r="E36" s="38">
        <f>IF(VLOOKUP(Info!B9,Data!B:AU,43,FALSE)&lt;0, -VLOOKUP(Info!B9,Data!B:AU,43,FALSE),0)</f>
        <v>0</v>
      </c>
      <c r="F36" s="29"/>
      <c r="G36" s="157" t="s">
        <v>133</v>
      </c>
      <c r="H36" s="157" t="s">
        <v>185</v>
      </c>
      <c r="I36" s="159"/>
    </row>
    <row r="37" spans="1:10" ht="13.8" x14ac:dyDescent="0.3">
      <c r="A37" s="37"/>
      <c r="B37" s="33" t="s">
        <v>196</v>
      </c>
      <c r="C37" s="34">
        <f>IF(Info!B$10=2,Summary!R9,Summary!Q9)</f>
        <v>129720</v>
      </c>
      <c r="D37" s="34">
        <v>4</v>
      </c>
      <c r="E37" s="38">
        <f>IF(VLOOKUP(Info!B9,Data!B:AU,38,FALSE)&gt;0, VLOOKUP(Info!B9,Data!B:AU,38,FALSE),0)</f>
        <v>0</v>
      </c>
      <c r="F37" s="38"/>
      <c r="G37" s="157" t="s">
        <v>25</v>
      </c>
      <c r="H37" s="157" t="s">
        <v>181</v>
      </c>
      <c r="I37" s="159"/>
    </row>
    <row r="38" spans="1:10" ht="13.8" x14ac:dyDescent="0.3">
      <c r="A38" s="37"/>
      <c r="B38" s="33" t="s">
        <v>198</v>
      </c>
      <c r="C38" s="34">
        <f>IF(Info!B$10=2,Summary!R10,Summary!Q10)</f>
        <v>229220</v>
      </c>
      <c r="D38" s="34">
        <v>9</v>
      </c>
      <c r="E38" s="38">
        <f>IF(VLOOKUP(Info!B9,Data!B:AU,39,FALSE)&lt;0, -VLOOKUP(Info!B9,Data!B:AU,39,FALSE),0)</f>
        <v>5627175</v>
      </c>
      <c r="F38" s="38"/>
      <c r="G38" s="157" t="s">
        <v>25</v>
      </c>
      <c r="H38" s="157" t="s">
        <v>181</v>
      </c>
      <c r="I38" s="159"/>
      <c r="J38" s="190"/>
    </row>
    <row r="39" spans="1:10" ht="13.8" x14ac:dyDescent="0.3">
      <c r="A39" s="37"/>
      <c r="B39" s="33" t="s">
        <v>196</v>
      </c>
      <c r="C39" s="34">
        <f>IF(Info!B$10=2,Summary!R9,Summary!Q9)</f>
        <v>129720</v>
      </c>
      <c r="D39" s="34">
        <v>3</v>
      </c>
      <c r="E39" s="38">
        <f>IF(VLOOKUP(Info!B9,Data!B:AU,45,FALSE)&gt;0, VLOOKUP(Info!B9,Data!B:AU,45,FALSE),0)</f>
        <v>2111552</v>
      </c>
      <c r="F39" s="29"/>
      <c r="G39" s="157" t="s">
        <v>26</v>
      </c>
      <c r="H39" s="157" t="s">
        <v>136</v>
      </c>
      <c r="I39" s="159"/>
    </row>
    <row r="40" spans="1:10" ht="13.8" x14ac:dyDescent="0.3">
      <c r="A40" s="37"/>
      <c r="B40" s="33" t="s">
        <v>198</v>
      </c>
      <c r="C40" s="34">
        <f>IF(Info!B$10=2,Summary!R10,Summary!Q10)</f>
        <v>229220</v>
      </c>
      <c r="D40" s="34">
        <v>8</v>
      </c>
      <c r="E40" s="38">
        <f>IF(VLOOKUP(Info!B9,Data!B:AU,46,FALSE)&lt;0, -VLOOKUP(Info!B9,Data!B:AU,46,FALSE),0)</f>
        <v>163971</v>
      </c>
      <c r="F40" s="38"/>
      <c r="G40" s="157" t="s">
        <v>26</v>
      </c>
      <c r="H40" s="157" t="s">
        <v>136</v>
      </c>
      <c r="I40" s="159"/>
    </row>
    <row r="41" spans="1:10" ht="13.8" x14ac:dyDescent="0.3">
      <c r="A41" s="37"/>
      <c r="B41" s="33" t="s">
        <v>202</v>
      </c>
      <c r="C41" s="34">
        <f>IF(Info!B$10=2,Summary!R11,Summary!Q11)</f>
        <v>531598</v>
      </c>
      <c r="D41" s="34"/>
      <c r="E41" s="38">
        <f>IF(VLOOKUP(Info!B9,Data!B:AU,15,FALSE)&gt;0, VLOOKUP(Info!B9,Data!B:AU,15,FALSE),0)</f>
        <v>0</v>
      </c>
      <c r="F41" s="38"/>
      <c r="G41" s="157" t="s">
        <v>207</v>
      </c>
      <c r="H41" s="160" t="s">
        <v>16</v>
      </c>
      <c r="I41" s="157"/>
    </row>
    <row r="42" spans="1:10" ht="13.8" x14ac:dyDescent="0.3">
      <c r="A42" s="37"/>
      <c r="B42" s="33" t="s">
        <v>202</v>
      </c>
      <c r="C42" s="34">
        <f>IF(Info!B$10=2,Summary!R11,Summary!Q11)</f>
        <v>531598</v>
      </c>
      <c r="D42" s="34"/>
      <c r="E42" s="38"/>
      <c r="F42" s="38">
        <f>IF(VLOOKUP(Info!B9,Data!B:AU,15,FALSE)&lt;0, -VLOOKUP(Info!B9,Data!B:AU,15,FALSE),0)</f>
        <v>30536357</v>
      </c>
      <c r="G42" s="157" t="s">
        <v>207</v>
      </c>
      <c r="H42" s="160" t="s">
        <v>16</v>
      </c>
      <c r="I42" s="157"/>
    </row>
    <row r="43" spans="1:10" ht="13.8" x14ac:dyDescent="0.3">
      <c r="A43" s="37"/>
      <c r="B43" s="39" t="s">
        <v>203</v>
      </c>
      <c r="C43" s="34">
        <f>IF(Info!B$10=2,Summary!R8,Summary!Q8)</f>
        <v>229160</v>
      </c>
      <c r="D43" s="34"/>
      <c r="E43" s="29"/>
      <c r="F43" s="38">
        <f>IF(VLOOKUP(Info!B9,Data!B:AU,44,FALSE)&gt;0, VLOOKUP(Info!B9,Data!B:AU,44,FALSE),0)</f>
        <v>0</v>
      </c>
      <c r="G43" s="157" t="s">
        <v>208</v>
      </c>
      <c r="H43" s="157" t="s">
        <v>155</v>
      </c>
      <c r="I43" s="157"/>
    </row>
    <row r="44" spans="1:10" ht="13.8" x14ac:dyDescent="0.3">
      <c r="A44" s="37"/>
      <c r="B44" s="39" t="s">
        <v>198</v>
      </c>
      <c r="C44" s="34">
        <f>IF(Info!B$10=2,Summary!R10,Summary!Q10)</f>
        <v>229220</v>
      </c>
      <c r="D44" s="34">
        <v>6</v>
      </c>
      <c r="E44" s="44"/>
      <c r="F44" s="38">
        <f>IF(VLOOKUP(Info!B9,Data!B:AU,41,FALSE)&gt;0, VLOOKUP(Info!B9,Data!B:AU,41,FALSE),0)</f>
        <v>0</v>
      </c>
      <c r="G44" s="157" t="s">
        <v>24</v>
      </c>
      <c r="H44" s="157" t="s">
        <v>182</v>
      </c>
      <c r="I44" s="29"/>
    </row>
    <row r="45" spans="1:10" ht="13.8" x14ac:dyDescent="0.3">
      <c r="A45" s="37"/>
      <c r="B45" s="39" t="s">
        <v>196</v>
      </c>
      <c r="C45" s="34">
        <f>IF(Info!B$10=2,Summary!R9,Summary!Q9)</f>
        <v>129720</v>
      </c>
      <c r="D45" s="34">
        <v>1</v>
      </c>
      <c r="E45" s="44"/>
      <c r="F45" s="38">
        <f>IF(VLOOKUP(Info!B9,Data!B:AU,40,FALSE)&lt;0, -VLOOKUP(Info!B9,Data!B:AU,40,FALSE),0)</f>
        <v>0</v>
      </c>
      <c r="G45" s="157" t="s">
        <v>24</v>
      </c>
      <c r="H45" s="157" t="s">
        <v>182</v>
      </c>
      <c r="I45" s="29"/>
    </row>
    <row r="46" spans="1:10" ht="13.8" x14ac:dyDescent="0.3">
      <c r="A46" s="37"/>
      <c r="B46" s="39" t="s">
        <v>198</v>
      </c>
      <c r="C46" s="34">
        <f>IF(Info!B$10=2,Summary!R10,Summary!Q10)</f>
        <v>229220</v>
      </c>
      <c r="D46" s="34">
        <v>7</v>
      </c>
      <c r="E46" s="44"/>
      <c r="F46" s="38">
        <f>IF(VLOOKUP(Info!B9,Data!B:AU,43,FALSE)&gt;0, VLOOKUP(Info!B9,Data!B:AU,43,FALSE),0)</f>
        <v>33078362</v>
      </c>
      <c r="G46" s="157" t="s">
        <v>133</v>
      </c>
      <c r="H46" s="157" t="s">
        <v>185</v>
      </c>
      <c r="I46" s="29"/>
    </row>
    <row r="47" spans="1:10" ht="13.8" x14ac:dyDescent="0.3">
      <c r="A47" s="37"/>
      <c r="B47" s="39" t="s">
        <v>196</v>
      </c>
      <c r="C47" s="34">
        <f>IF(Info!B$10=2,Summary!R9,Summary!Q9)</f>
        <v>129720</v>
      </c>
      <c r="D47" s="34">
        <v>2</v>
      </c>
      <c r="E47" s="44"/>
      <c r="F47" s="38">
        <f>IF(VLOOKUP(Info!B9,Data!B:AU,42,FALSE)&lt;0, -VLOOKUP(Info!B9,Data!B:AU,42,FALSE),0)</f>
        <v>6695140</v>
      </c>
      <c r="G47" s="157" t="s">
        <v>133</v>
      </c>
      <c r="H47" s="157" t="s">
        <v>185</v>
      </c>
      <c r="I47" s="29"/>
    </row>
    <row r="48" spans="1:10" ht="13.8" x14ac:dyDescent="0.3">
      <c r="A48" s="37"/>
      <c r="B48" s="39" t="s">
        <v>198</v>
      </c>
      <c r="C48" s="34">
        <f>IF(Info!B$10=2,Summary!R10,Summary!Q10)</f>
        <v>229220</v>
      </c>
      <c r="D48" s="34">
        <v>9</v>
      </c>
      <c r="E48" s="44"/>
      <c r="F48" s="38">
        <f>IF(VLOOKUP(Info!B9,Data!B:AU,39,FALSE)&gt;0, VLOOKUP(Info!B9,Data!B:AU,39,FALSE),0)</f>
        <v>0</v>
      </c>
      <c r="G48" s="157" t="s">
        <v>25</v>
      </c>
      <c r="H48" s="157" t="s">
        <v>181</v>
      </c>
      <c r="I48" s="29"/>
    </row>
    <row r="49" spans="1:13" ht="13.8" x14ac:dyDescent="0.3">
      <c r="A49" s="37"/>
      <c r="B49" s="39" t="s">
        <v>196</v>
      </c>
      <c r="C49" s="34">
        <f>IF(Info!B$10=2,Summary!R9,Summary!Q9)</f>
        <v>129720</v>
      </c>
      <c r="D49" s="34">
        <v>4</v>
      </c>
      <c r="E49" s="44"/>
      <c r="F49" s="38">
        <f>IF(VLOOKUP(Info!B9,Data!B:AU,38,FALSE)&lt;0, -VLOOKUP(Info!B9,Data!B:AU,38,FALSE),0)</f>
        <v>5478635</v>
      </c>
      <c r="G49" s="157" t="s">
        <v>25</v>
      </c>
      <c r="H49" s="157" t="s">
        <v>181</v>
      </c>
      <c r="I49" s="29"/>
    </row>
    <row r="50" spans="1:13" ht="13.8" x14ac:dyDescent="0.3">
      <c r="A50" s="37"/>
      <c r="B50" s="39" t="s">
        <v>198</v>
      </c>
      <c r="C50" s="34">
        <f>IF(Info!B$10=2,Summary!R10,Summary!Q10)</f>
        <v>229220</v>
      </c>
      <c r="D50" s="34">
        <v>8</v>
      </c>
      <c r="E50" s="44"/>
      <c r="F50" s="38">
        <f>IF(VLOOKUP(Info!B9,Data!B:AU,46,FALSE)&gt;0, VLOOKUP(Info!B9,Data!B:AU,46,FALSE),0)</f>
        <v>0</v>
      </c>
      <c r="G50" s="157" t="s">
        <v>26</v>
      </c>
      <c r="H50" s="157" t="s">
        <v>136</v>
      </c>
      <c r="I50" s="29"/>
    </row>
    <row r="51" spans="1:13" ht="13.8" x14ac:dyDescent="0.3">
      <c r="A51" s="37"/>
      <c r="B51" s="39" t="s">
        <v>196</v>
      </c>
      <c r="C51" s="34">
        <f>IF(Info!B$10=2,Summary!R9,Summary!Q9)</f>
        <v>129720</v>
      </c>
      <c r="D51" s="34">
        <v>3</v>
      </c>
      <c r="E51" s="44"/>
      <c r="F51" s="38">
        <f>IF(VLOOKUP(Info!B9,Data!B:AU,45,FALSE)&lt;0, -VLOOKUP(Info!B9,Data!B:AU,45,FALSE),0)</f>
        <v>0</v>
      </c>
      <c r="G51" s="157" t="s">
        <v>26</v>
      </c>
      <c r="H51" s="157" t="s">
        <v>136</v>
      </c>
      <c r="I51" s="29"/>
    </row>
    <row r="52" spans="1:13" ht="13.8" x14ac:dyDescent="0.3">
      <c r="A52" s="37"/>
      <c r="B52" s="39" t="s">
        <v>196</v>
      </c>
      <c r="C52" s="34">
        <f>IF(Info!B$10=2,Summary!R9,Summary!Q9)</f>
        <v>129720</v>
      </c>
      <c r="D52" s="34"/>
      <c r="E52" s="44"/>
      <c r="F52" s="38">
        <f>E14</f>
        <v>12731234</v>
      </c>
      <c r="G52" s="157" t="s">
        <v>177</v>
      </c>
      <c r="H52" s="157" t="s">
        <v>156</v>
      </c>
      <c r="I52" s="157" t="s">
        <v>135</v>
      </c>
    </row>
    <row r="53" spans="1:13" ht="13.8" x14ac:dyDescent="0.3">
      <c r="A53" s="37"/>
      <c r="B53" s="217" t="s">
        <v>489</v>
      </c>
      <c r="C53" s="228">
        <f>IF(Info!B$10=2,Summary!R16,Summary!Q16)</f>
        <v>436207</v>
      </c>
      <c r="D53" s="218"/>
      <c r="E53" s="219"/>
      <c r="F53" s="220">
        <f>IF(VLOOKUP(Info!B9,Data!B:AU,25,FALSE)&gt;0, VLOOKUP(Info!B9,Data!B:AU,25,FALSE),0)</f>
        <v>1853490</v>
      </c>
      <c r="G53" s="157" t="s">
        <v>492</v>
      </c>
      <c r="H53" s="157" t="s">
        <v>491</v>
      </c>
      <c r="I53" s="157"/>
    </row>
    <row r="54" spans="1:13" ht="13.8" x14ac:dyDescent="0.3">
      <c r="A54" s="37"/>
      <c r="B54" s="33" t="s">
        <v>204</v>
      </c>
      <c r="C54" s="34"/>
      <c r="D54" s="34"/>
      <c r="E54" s="45">
        <f>SUM(E32:E52)</f>
        <v>90373218</v>
      </c>
      <c r="F54" s="45">
        <f>SUM(F32:F53)</f>
        <v>90373218</v>
      </c>
      <c r="G54" s="213"/>
      <c r="H54" s="29"/>
      <c r="I54" s="29"/>
      <c r="J54" s="216">
        <f>SUM(E54-F54)</f>
        <v>0</v>
      </c>
      <c r="K54"/>
      <c r="L54"/>
      <c r="M54"/>
    </row>
    <row r="55" spans="1:13" ht="13.8" x14ac:dyDescent="0.3">
      <c r="A55" s="37"/>
      <c r="B55" s="33" t="s">
        <v>205</v>
      </c>
      <c r="C55" s="34"/>
      <c r="D55" s="34"/>
      <c r="E55" s="38"/>
      <c r="F55" s="44"/>
      <c r="G55" s="29"/>
      <c r="H55" s="29"/>
      <c r="I55" s="29"/>
    </row>
    <row r="56" spans="1:13" ht="3" customHeight="1" x14ac:dyDescent="0.3">
      <c r="A56" s="37"/>
      <c r="B56" s="40"/>
      <c r="C56" s="34"/>
      <c r="D56" s="34"/>
      <c r="E56" s="38"/>
      <c r="F56" s="44"/>
      <c r="G56" s="29"/>
      <c r="H56" s="29"/>
      <c r="I56" s="29"/>
    </row>
    <row r="57" spans="1:13" ht="13.8" x14ac:dyDescent="0.3">
      <c r="A57" s="37"/>
      <c r="B57" s="51" t="s">
        <v>139</v>
      </c>
      <c r="C57" s="35"/>
      <c r="D57" s="35"/>
      <c r="E57" s="38"/>
      <c r="F57" s="38"/>
      <c r="G57" s="29"/>
      <c r="H57" s="29"/>
      <c r="I57" s="29"/>
    </row>
    <row r="58" spans="1:13" ht="13.8" x14ac:dyDescent="0.3">
      <c r="A58" s="37">
        <v>3</v>
      </c>
      <c r="B58" s="150" t="s">
        <v>520</v>
      </c>
      <c r="C58" s="34">
        <f>IF(Info!B$10=2,Summary!R9,Summary!Q9)</f>
        <v>129720</v>
      </c>
      <c r="D58" s="34">
        <v>5</v>
      </c>
      <c r="E58" s="192">
        <v>0</v>
      </c>
      <c r="F58" s="38"/>
      <c r="G58" s="158" t="s">
        <v>519</v>
      </c>
      <c r="H58" s="159" t="str">
        <f>IF(E58=0,"ERROR – Enter Amount"," ")</f>
        <v>ERROR – Enter Amount</v>
      </c>
      <c r="I58" s="29"/>
    </row>
    <row r="59" spans="1:13" ht="13.8" x14ac:dyDescent="0.3">
      <c r="A59" s="37"/>
      <c r="B59" s="39" t="s">
        <v>236</v>
      </c>
      <c r="C59" s="34">
        <f>IF(Info!B$10=2,Summary!R12,Summary!Q12)</f>
        <v>531520</v>
      </c>
      <c r="D59" s="34"/>
      <c r="E59" s="38"/>
      <c r="F59" s="38">
        <f>E58</f>
        <v>0</v>
      </c>
      <c r="G59" s="157" t="s">
        <v>15</v>
      </c>
      <c r="H59" s="157" t="s">
        <v>189</v>
      </c>
      <c r="I59" s="29"/>
    </row>
    <row r="60" spans="1:13" ht="13.8" x14ac:dyDescent="0.3">
      <c r="A60" s="37"/>
      <c r="B60" s="33" t="s">
        <v>206</v>
      </c>
      <c r="C60" s="34"/>
      <c r="D60" s="34"/>
      <c r="E60" s="45">
        <f>SUM(E58:E59)</f>
        <v>0</v>
      </c>
      <c r="F60" s="45">
        <f>SUM(F58:F59)</f>
        <v>0</v>
      </c>
      <c r="G60" s="29"/>
      <c r="H60" s="29"/>
      <c r="I60" s="29"/>
    </row>
    <row r="61" spans="1:13" ht="12.6" customHeight="1" x14ac:dyDescent="0.3">
      <c r="A61" s="37"/>
      <c r="B61" s="126" t="s">
        <v>237</v>
      </c>
      <c r="C61" s="34"/>
      <c r="D61" s="34"/>
      <c r="E61" s="38"/>
      <c r="F61" s="38"/>
      <c r="G61" s="29"/>
      <c r="H61" s="29"/>
      <c r="I61" s="29"/>
    </row>
    <row r="62" spans="1:13" ht="12.6" customHeight="1" x14ac:dyDescent="0.3">
      <c r="A62" s="37"/>
      <c r="B62" s="126" t="s">
        <v>521</v>
      </c>
      <c r="C62" s="34"/>
      <c r="D62" s="34"/>
      <c r="E62" s="38"/>
      <c r="F62" s="38"/>
      <c r="G62" s="29"/>
      <c r="H62" s="29"/>
      <c r="I62" s="29"/>
    </row>
    <row r="63" spans="1:13" ht="13.8" x14ac:dyDescent="0.3">
      <c r="A63" s="37"/>
      <c r="B63" s="166"/>
      <c r="C63" s="34"/>
      <c r="D63" s="34"/>
      <c r="E63" s="161"/>
      <c r="F63" s="161"/>
      <c r="G63" s="29"/>
      <c r="H63" s="29"/>
      <c r="I63" s="29"/>
    </row>
    <row r="64" spans="1:13" ht="13.8" x14ac:dyDescent="0.3">
      <c r="A64" s="60"/>
      <c r="B64" s="61"/>
      <c r="C64" s="20"/>
      <c r="D64" s="20"/>
      <c r="E64" s="62"/>
      <c r="F64" s="62"/>
    </row>
    <row r="65" spans="1:13" ht="16.05" customHeight="1" x14ac:dyDescent="0.3">
      <c r="A65" s="265" t="s">
        <v>3</v>
      </c>
      <c r="B65" s="266"/>
      <c r="C65" s="20"/>
      <c r="D65" s="20"/>
      <c r="E65" s="62"/>
      <c r="F65" s="62"/>
    </row>
    <row r="66" spans="1:13" ht="54.75" customHeight="1" x14ac:dyDescent="0.25">
      <c r="A66" s="171"/>
      <c r="B66" s="267" t="s">
        <v>246</v>
      </c>
      <c r="C66" s="268"/>
      <c r="D66" s="268"/>
      <c r="E66" s="268"/>
      <c r="F66" s="268"/>
      <c r="G66" s="268"/>
    </row>
    <row r="67" spans="1:13" ht="6" customHeight="1" x14ac:dyDescent="0.25">
      <c r="A67" s="171"/>
      <c r="B67" s="68"/>
      <c r="C67" s="64"/>
      <c r="D67" s="64"/>
      <c r="E67" s="64"/>
      <c r="F67" s="64"/>
      <c r="G67" s="64"/>
    </row>
    <row r="68" spans="1:13" ht="55.05" customHeight="1" x14ac:dyDescent="0.25">
      <c r="A68" s="63" t="s">
        <v>183</v>
      </c>
      <c r="B68" s="267" t="s">
        <v>209</v>
      </c>
      <c r="C68" s="267"/>
      <c r="D68" s="267"/>
      <c r="E68" s="267"/>
      <c r="F68" s="267"/>
      <c r="G68" s="267"/>
      <c r="H68" s="64"/>
      <c r="I68" s="69"/>
    </row>
    <row r="69" spans="1:13" ht="6" customHeight="1" x14ac:dyDescent="0.3">
      <c r="A69" s="65"/>
      <c r="B69" s="66"/>
      <c r="C69" s="67"/>
      <c r="D69" s="67"/>
      <c r="E69" s="67"/>
      <c r="F69" s="67"/>
      <c r="G69" s="67"/>
      <c r="H69" s="67"/>
    </row>
    <row r="70" spans="1:13" ht="29.1" customHeight="1" x14ac:dyDescent="0.25">
      <c r="A70" s="63" t="s">
        <v>184</v>
      </c>
      <c r="B70" s="270" t="s">
        <v>210</v>
      </c>
      <c r="C70" s="269"/>
      <c r="D70" s="269"/>
      <c r="E70" s="269"/>
      <c r="F70" s="269"/>
      <c r="G70" s="269"/>
      <c r="H70" s="69"/>
      <c r="I70" s="64"/>
    </row>
    <row r="71" spans="1:13" ht="6" customHeight="1" x14ac:dyDescent="0.3">
      <c r="A71" s="65"/>
      <c r="B71" s="66"/>
      <c r="C71" s="67"/>
      <c r="D71" s="67"/>
      <c r="E71" s="67"/>
      <c r="F71" s="67"/>
      <c r="G71" s="67"/>
      <c r="H71" s="67"/>
    </row>
    <row r="72" spans="1:13" ht="67.2" customHeight="1" x14ac:dyDescent="0.25">
      <c r="A72" s="63" t="s">
        <v>17</v>
      </c>
      <c r="B72" s="267" t="s">
        <v>211</v>
      </c>
      <c r="C72" s="269"/>
      <c r="D72" s="269"/>
      <c r="E72" s="269"/>
      <c r="F72" s="269"/>
      <c r="G72" s="269"/>
      <c r="H72" s="69"/>
      <c r="I72" s="64"/>
    </row>
    <row r="73" spans="1:13" ht="6" customHeight="1" x14ac:dyDescent="0.3">
      <c r="A73" s="65"/>
      <c r="B73" s="64"/>
      <c r="C73" s="64"/>
      <c r="D73" s="64"/>
      <c r="E73" s="64"/>
      <c r="F73" s="64"/>
      <c r="G73" s="64"/>
      <c r="H73" s="64"/>
    </row>
    <row r="74" spans="1:13" ht="15" customHeight="1" x14ac:dyDescent="0.25">
      <c r="A74" s="63" t="s">
        <v>18</v>
      </c>
      <c r="B74" s="270" t="s">
        <v>212</v>
      </c>
      <c r="C74" s="269"/>
      <c r="D74" s="269"/>
      <c r="E74" s="269"/>
      <c r="F74" s="269"/>
      <c r="G74" s="269"/>
      <c r="H74" s="69"/>
      <c r="I74" s="67"/>
    </row>
    <row r="75" spans="1:13" ht="6" customHeight="1" x14ac:dyDescent="0.3">
      <c r="A75" s="65"/>
      <c r="B75" s="67"/>
      <c r="C75" s="64"/>
      <c r="D75" s="64"/>
      <c r="E75" s="64"/>
      <c r="F75" s="64"/>
      <c r="G75" s="64"/>
      <c r="H75" s="64"/>
    </row>
    <row r="76" spans="1:13" ht="54" customHeight="1" x14ac:dyDescent="0.25">
      <c r="A76" s="63" t="s">
        <v>185</v>
      </c>
      <c r="B76" s="267" t="s">
        <v>213</v>
      </c>
      <c r="C76" s="267"/>
      <c r="D76" s="267"/>
      <c r="E76" s="267"/>
      <c r="F76" s="267"/>
      <c r="G76" s="267"/>
      <c r="H76" s="68"/>
    </row>
    <row r="77" spans="1:13" ht="6" customHeight="1" x14ac:dyDescent="0.3">
      <c r="A77" s="65"/>
      <c r="B77" s="64"/>
      <c r="C77" s="64"/>
      <c r="D77" s="64"/>
      <c r="E77" s="64"/>
      <c r="F77" s="64"/>
      <c r="G77" s="64"/>
      <c r="H77" s="64"/>
      <c r="J77" s="23"/>
      <c r="L77" s="24"/>
      <c r="M77" s="24"/>
    </row>
    <row r="78" spans="1:13" ht="82.05" customHeight="1" x14ac:dyDescent="0.3">
      <c r="A78" s="70" t="s">
        <v>186</v>
      </c>
      <c r="B78" s="267" t="s">
        <v>214</v>
      </c>
      <c r="C78" s="268"/>
      <c r="D78" s="268"/>
      <c r="E78" s="268"/>
      <c r="F78" s="268"/>
      <c r="G78" s="268"/>
      <c r="H78" s="64"/>
      <c r="L78" s="24"/>
      <c r="M78" s="24"/>
    </row>
    <row r="79" spans="1:13" ht="6" customHeight="1" x14ac:dyDescent="0.3">
      <c r="A79" s="65"/>
      <c r="B79" s="64"/>
      <c r="C79" s="64"/>
      <c r="D79" s="64"/>
      <c r="E79" s="64"/>
      <c r="F79" s="64"/>
      <c r="G79" s="64"/>
      <c r="H79" s="64"/>
      <c r="J79" s="23"/>
      <c r="L79" s="24"/>
      <c r="M79" s="24"/>
    </row>
    <row r="80" spans="1:13" ht="95.1" customHeight="1" x14ac:dyDescent="0.3">
      <c r="A80" s="63" t="s">
        <v>187</v>
      </c>
      <c r="B80" s="267" t="s">
        <v>218</v>
      </c>
      <c r="C80" s="269"/>
      <c r="D80" s="269"/>
      <c r="E80" s="269"/>
      <c r="F80" s="269"/>
      <c r="G80" s="269"/>
      <c r="H80" s="69"/>
      <c r="J80" s="23"/>
      <c r="L80" s="24"/>
      <c r="M80" s="24"/>
    </row>
    <row r="81" spans="1:13" ht="6" customHeight="1" x14ac:dyDescent="0.3">
      <c r="A81" s="65"/>
      <c r="B81" s="64"/>
      <c r="C81" s="64"/>
      <c r="D81" s="64"/>
      <c r="E81" s="64"/>
      <c r="F81" s="64"/>
      <c r="G81" s="64"/>
      <c r="H81" s="64"/>
      <c r="J81" s="23"/>
      <c r="L81" s="24"/>
      <c r="M81" s="24"/>
    </row>
    <row r="82" spans="1:13" ht="27" customHeight="1" x14ac:dyDescent="0.3">
      <c r="A82" s="70" t="s">
        <v>188</v>
      </c>
      <c r="B82" s="270" t="s">
        <v>215</v>
      </c>
      <c r="C82" s="269"/>
      <c r="D82" s="269"/>
      <c r="E82" s="269"/>
      <c r="F82" s="269"/>
      <c r="G82" s="269"/>
      <c r="H82" s="69"/>
      <c r="J82" s="23"/>
      <c r="L82" s="24"/>
      <c r="M82" s="24"/>
    </row>
    <row r="83" spans="1:13" ht="6" customHeight="1" x14ac:dyDescent="0.3">
      <c r="A83" s="65"/>
      <c r="B83" s="64"/>
      <c r="C83" s="64"/>
      <c r="D83" s="64"/>
      <c r="E83" s="64"/>
      <c r="F83" s="64"/>
      <c r="G83" s="64"/>
      <c r="H83" s="64"/>
      <c r="J83" s="23"/>
      <c r="L83" s="24"/>
      <c r="M83" s="24"/>
    </row>
    <row r="84" spans="1:13" s="25" customFormat="1" ht="27" customHeight="1" x14ac:dyDescent="0.3">
      <c r="A84" s="70" t="s">
        <v>189</v>
      </c>
      <c r="B84" s="270" t="s">
        <v>216</v>
      </c>
      <c r="C84" s="269"/>
      <c r="D84" s="269"/>
      <c r="E84" s="269"/>
      <c r="F84" s="269"/>
      <c r="G84" s="269"/>
      <c r="H84" s="69"/>
      <c r="J84" s="26"/>
      <c r="L84" s="27"/>
      <c r="M84" s="27"/>
    </row>
    <row r="85" spans="1:13" s="25" customFormat="1" ht="6" customHeight="1" x14ac:dyDescent="0.3">
      <c r="A85" s="70"/>
      <c r="B85" s="71"/>
      <c r="C85" s="69"/>
      <c r="D85" s="69"/>
      <c r="E85" s="69"/>
      <c r="F85" s="69"/>
      <c r="G85" s="69"/>
      <c r="H85" s="69"/>
      <c r="J85" s="26"/>
      <c r="L85" s="27"/>
      <c r="M85" s="27"/>
    </row>
    <row r="86" spans="1:13" ht="42" customHeight="1" x14ac:dyDescent="0.3">
      <c r="A86" s="70" t="s">
        <v>16</v>
      </c>
      <c r="B86" s="270" t="s">
        <v>217</v>
      </c>
      <c r="C86" s="269"/>
      <c r="D86" s="269"/>
      <c r="E86" s="269"/>
      <c r="F86" s="269"/>
      <c r="G86" s="269"/>
      <c r="J86" s="23"/>
      <c r="L86" s="24"/>
      <c r="M86" s="24"/>
    </row>
    <row r="87" spans="1:13" ht="6" customHeight="1" x14ac:dyDescent="0.3">
      <c r="A87" s="70"/>
      <c r="B87" s="71"/>
      <c r="C87" s="69"/>
      <c r="D87" s="69"/>
      <c r="E87" s="69"/>
      <c r="F87" s="69"/>
      <c r="G87" s="69"/>
      <c r="J87" s="23"/>
      <c r="L87" s="24"/>
      <c r="M87" s="24"/>
    </row>
    <row r="88" spans="1:13" ht="66" customHeight="1" x14ac:dyDescent="0.3">
      <c r="A88" s="70" t="s">
        <v>491</v>
      </c>
      <c r="B88" s="270" t="s">
        <v>509</v>
      </c>
      <c r="C88" s="269"/>
      <c r="D88" s="269"/>
      <c r="E88" s="269"/>
      <c r="F88" s="269"/>
      <c r="G88" s="269"/>
      <c r="J88" s="23"/>
      <c r="L88" s="24"/>
      <c r="M88" s="24"/>
    </row>
    <row r="95" spans="1:13" ht="13.8" x14ac:dyDescent="0.3">
      <c r="C95" s="22"/>
      <c r="D95" s="22"/>
    </row>
    <row r="96" spans="1:13" ht="13.8" x14ac:dyDescent="0.3">
      <c r="C96" s="22"/>
      <c r="D96" s="22"/>
    </row>
    <row r="97" spans="3:4" ht="13.8" x14ac:dyDescent="0.3">
      <c r="C97" s="22"/>
      <c r="D97" s="22"/>
    </row>
    <row r="98" spans="3:4" ht="13.8" x14ac:dyDescent="0.3">
      <c r="C98" s="22"/>
      <c r="D98" s="22"/>
    </row>
    <row r="99" spans="3:4" ht="13.8" x14ac:dyDescent="0.3">
      <c r="C99" s="22"/>
      <c r="D99" s="22"/>
    </row>
    <row r="100" spans="3:4" ht="13.8" x14ac:dyDescent="0.3">
      <c r="C100" s="21"/>
      <c r="D100" s="21"/>
    </row>
    <row r="101" spans="3:4" ht="13.8" x14ac:dyDescent="0.3">
      <c r="C101" s="28"/>
      <c r="D101" s="28"/>
    </row>
    <row r="102" spans="3:4" ht="13.8" x14ac:dyDescent="0.3">
      <c r="C102" s="20"/>
      <c r="D102" s="20"/>
    </row>
    <row r="103" spans="3:4" ht="13.8" x14ac:dyDescent="0.3">
      <c r="C103" s="19"/>
      <c r="D103" s="19"/>
    </row>
    <row r="104" spans="3:4" ht="13.8" x14ac:dyDescent="0.3">
      <c r="C104" s="22"/>
      <c r="D104" s="22"/>
    </row>
    <row r="105" spans="3:4" ht="13.8" x14ac:dyDescent="0.3">
      <c r="C105" s="20"/>
      <c r="D105" s="20"/>
    </row>
    <row r="106" spans="3:4" ht="13.8" x14ac:dyDescent="0.3">
      <c r="C106" s="19"/>
      <c r="D106" s="19"/>
    </row>
    <row r="107" spans="3:4" ht="13.8" x14ac:dyDescent="0.3">
      <c r="C107" s="20"/>
      <c r="D107" s="20"/>
    </row>
    <row r="108" spans="3:4" ht="13.8" x14ac:dyDescent="0.3">
      <c r="C108" s="20"/>
      <c r="D108" s="20"/>
    </row>
    <row r="109" spans="3:4" ht="13.8" x14ac:dyDescent="0.3">
      <c r="C109" s="22"/>
      <c r="D109" s="22"/>
    </row>
    <row r="110" spans="3:4" ht="13.8" x14ac:dyDescent="0.3">
      <c r="C110" s="20"/>
      <c r="D110" s="20"/>
    </row>
    <row r="111" spans="3:4" ht="13.8" x14ac:dyDescent="0.3">
      <c r="C111" s="22"/>
      <c r="D111" s="22"/>
    </row>
    <row r="112" spans="3:4" ht="13.8" x14ac:dyDescent="0.3">
      <c r="C112" s="19"/>
      <c r="D112" s="19"/>
    </row>
    <row r="113" spans="3:4" ht="13.8" x14ac:dyDescent="0.3">
      <c r="C113" s="20"/>
      <c r="D113" s="20"/>
    </row>
    <row r="114" spans="3:4" ht="13.8" x14ac:dyDescent="0.3">
      <c r="C114" s="20"/>
      <c r="D114" s="20"/>
    </row>
    <row r="115" spans="3:4" ht="13.8" x14ac:dyDescent="0.3">
      <c r="C115" s="22"/>
      <c r="D115" s="22"/>
    </row>
    <row r="116" spans="3:4" ht="13.8" x14ac:dyDescent="0.3">
      <c r="C116" s="20"/>
      <c r="D116" s="20"/>
    </row>
    <row r="117" spans="3:4" ht="13.8" x14ac:dyDescent="0.3">
      <c r="C117" s="19"/>
      <c r="D117" s="19"/>
    </row>
    <row r="118" spans="3:4" ht="13.8" x14ac:dyDescent="0.3">
      <c r="C118" s="22"/>
      <c r="D118" s="22"/>
    </row>
    <row r="119" spans="3:4" ht="13.8" x14ac:dyDescent="0.3">
      <c r="C119" s="20"/>
      <c r="D119" s="20"/>
    </row>
    <row r="120" spans="3:4" ht="13.8" x14ac:dyDescent="0.3">
      <c r="C120" s="20"/>
      <c r="D120" s="20"/>
    </row>
    <row r="121" spans="3:4" ht="13.8" x14ac:dyDescent="0.3">
      <c r="C121" s="19"/>
      <c r="D121" s="19"/>
    </row>
    <row r="122" spans="3:4" ht="13.8" x14ac:dyDescent="0.3">
      <c r="C122" s="22"/>
      <c r="D122" s="22"/>
    </row>
    <row r="123" spans="3:4" ht="13.8" x14ac:dyDescent="0.3">
      <c r="C123" s="22"/>
      <c r="D123" s="22"/>
    </row>
    <row r="124" spans="3:4" ht="13.8" x14ac:dyDescent="0.3">
      <c r="C124" s="22"/>
      <c r="D124" s="22"/>
    </row>
    <row r="125" spans="3:4" ht="13.8" x14ac:dyDescent="0.3">
      <c r="C125" s="22"/>
      <c r="D125" s="22"/>
    </row>
    <row r="126" spans="3:4" ht="13.8" x14ac:dyDescent="0.3">
      <c r="C126" s="22"/>
      <c r="D126" s="22"/>
    </row>
    <row r="127" spans="3:4" ht="13.8" x14ac:dyDescent="0.3">
      <c r="C127" s="22"/>
      <c r="D127" s="22"/>
    </row>
    <row r="128" spans="3:4" ht="13.8" x14ac:dyDescent="0.3">
      <c r="C128" s="22"/>
      <c r="D128" s="22"/>
    </row>
    <row r="129" spans="3:4" ht="13.8" x14ac:dyDescent="0.3">
      <c r="C129" s="19"/>
      <c r="D129" s="19"/>
    </row>
    <row r="130" spans="3:4" ht="13.8" x14ac:dyDescent="0.3">
      <c r="C130" s="22"/>
      <c r="D130" s="22"/>
    </row>
    <row r="131" spans="3:4" ht="13.8" x14ac:dyDescent="0.3">
      <c r="C131" s="22"/>
      <c r="D131" s="22"/>
    </row>
    <row r="132" spans="3:4" ht="13.8" x14ac:dyDescent="0.3">
      <c r="C132" s="22"/>
      <c r="D132" s="22"/>
    </row>
    <row r="133" spans="3:4" ht="13.8" x14ac:dyDescent="0.3">
      <c r="C133" s="22"/>
      <c r="D133" s="22"/>
    </row>
    <row r="134" spans="3:4" ht="13.8" x14ac:dyDescent="0.3">
      <c r="C134" s="22"/>
      <c r="D134" s="22"/>
    </row>
    <row r="135" spans="3:4" ht="13.8" x14ac:dyDescent="0.3">
      <c r="C135" s="19"/>
      <c r="D135" s="19"/>
    </row>
    <row r="136" spans="3:4" ht="13.8" x14ac:dyDescent="0.3">
      <c r="C136" s="22"/>
      <c r="D136" s="22"/>
    </row>
    <row r="137" spans="3:4" ht="13.8" x14ac:dyDescent="0.3">
      <c r="C137" s="20"/>
      <c r="D137" s="20"/>
    </row>
    <row r="138" spans="3:4" ht="13.8" x14ac:dyDescent="0.3">
      <c r="C138" s="22"/>
      <c r="D138" s="22"/>
    </row>
    <row r="139" spans="3:4" ht="13.8" x14ac:dyDescent="0.3">
      <c r="C139" s="22"/>
      <c r="D139" s="22"/>
    </row>
    <row r="140" spans="3:4" ht="13.8" x14ac:dyDescent="0.3">
      <c r="C140" s="22"/>
      <c r="D140" s="22"/>
    </row>
    <row r="141" spans="3:4" ht="13.8" x14ac:dyDescent="0.3">
      <c r="C141" s="22"/>
      <c r="D141" s="22"/>
    </row>
    <row r="142" spans="3:4" ht="13.8" x14ac:dyDescent="0.3">
      <c r="C142" s="22"/>
      <c r="D142" s="22"/>
    </row>
    <row r="143" spans="3:4" ht="13.8" x14ac:dyDescent="0.3">
      <c r="C143" s="19"/>
      <c r="D143" s="19"/>
    </row>
    <row r="144" spans="3:4" ht="13.8" x14ac:dyDescent="0.3">
      <c r="C144" s="22"/>
      <c r="D144" s="22"/>
    </row>
    <row r="145" spans="3:4" ht="13.8" x14ac:dyDescent="0.3">
      <c r="C145" s="22"/>
      <c r="D145" s="22"/>
    </row>
    <row r="146" spans="3:4" ht="13.8" x14ac:dyDescent="0.3">
      <c r="C146" s="20"/>
      <c r="D146" s="20"/>
    </row>
    <row r="147" spans="3:4" ht="13.8" x14ac:dyDescent="0.3">
      <c r="C147" s="20"/>
      <c r="D147" s="20"/>
    </row>
    <row r="148" spans="3:4" ht="13.8" x14ac:dyDescent="0.3">
      <c r="C148" s="20"/>
      <c r="D148" s="20"/>
    </row>
    <row r="149" spans="3:4" ht="13.8" x14ac:dyDescent="0.3">
      <c r="C149" s="22"/>
      <c r="D149" s="22"/>
    </row>
    <row r="150" spans="3:4" ht="13.8" x14ac:dyDescent="0.3">
      <c r="C150" s="20"/>
      <c r="D150" s="20"/>
    </row>
    <row r="151" spans="3:4" ht="13.8" x14ac:dyDescent="0.3">
      <c r="C151" s="22"/>
      <c r="D151" s="22"/>
    </row>
    <row r="152" spans="3:4" ht="13.8" x14ac:dyDescent="0.3">
      <c r="C152" s="20"/>
      <c r="D152" s="20"/>
    </row>
    <row r="153" spans="3:4" ht="13.8" x14ac:dyDescent="0.3">
      <c r="C153" s="20"/>
      <c r="D153" s="20"/>
    </row>
    <row r="154" spans="3:4" ht="13.8" x14ac:dyDescent="0.3">
      <c r="C154" s="20"/>
      <c r="D154" s="20"/>
    </row>
  </sheetData>
  <sheetProtection algorithmName="SHA-512" hashValue="uU9qWxD2tacYYLONx6uNzRGT2q3k+p4T9+uUVEXURRNg4RQE20UyLyWoMEyZKpCoPBCpCb3O6kmodfhZoSdSFQ==" saltValue="leMy3oPa7p7s6BAA2oYT1g==" spinCount="100000" sheet="1" objects="1" scenarios="1"/>
  <mergeCells count="13">
    <mergeCell ref="B88:G88"/>
    <mergeCell ref="B74:G74"/>
    <mergeCell ref="B86:G86"/>
    <mergeCell ref="B76:G76"/>
    <mergeCell ref="B80:G80"/>
    <mergeCell ref="B84:G84"/>
    <mergeCell ref="A65:B65"/>
    <mergeCell ref="B78:G78"/>
    <mergeCell ref="B72:G72"/>
    <mergeCell ref="B82:G82"/>
    <mergeCell ref="B70:G70"/>
    <mergeCell ref="B68:G68"/>
    <mergeCell ref="B66:G66"/>
  </mergeCells>
  <phoneticPr fontId="9" type="noConversion"/>
  <conditionalFormatting sqref="H58">
    <cfRule type="expression" dxfId="57" priority="1">
      <formula>$E$58=0</formula>
    </cfRule>
  </conditionalFormatting>
  <pageMargins left="0.5" right="0.5" top="0.2" bottom="0.2" header="0.5" footer="0.15"/>
  <pageSetup orientation="landscape" r:id="rId1"/>
  <headerFooter alignWithMargins="0"/>
  <rowBreaks count="1" manualBreakCount="1">
    <brk id="64" max="8" man="1"/>
  </rowBreaks>
  <ignoredErrors>
    <ignoredError sqref="C26 C43:C49 C34:C4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U32"/>
  <sheetViews>
    <sheetView showGridLines="0" workbookViewId="0"/>
  </sheetViews>
  <sheetFormatPr defaultRowHeight="13.2" x14ac:dyDescent="0.25"/>
  <cols>
    <col min="1" max="1" width="36.77734375" customWidth="1"/>
    <col min="2" max="2" width="1.21875" customWidth="1"/>
    <col min="3" max="3" width="9.77734375" bestFit="1" customWidth="1"/>
    <col min="4" max="4" width="1.21875" customWidth="1"/>
    <col min="5" max="5" width="14.77734375" customWidth="1"/>
    <col min="6" max="6" width="1.21875" customWidth="1"/>
    <col min="7" max="7" width="14.77734375" customWidth="1"/>
    <col min="8" max="8" width="1.21875" customWidth="1"/>
    <col min="9" max="9" width="15.44140625" bestFit="1" customWidth="1"/>
    <col min="10" max="10" width="6.77734375" customWidth="1"/>
    <col min="11" max="11" width="12.77734375" customWidth="1"/>
    <col min="12" max="12" width="1.21875" customWidth="1"/>
    <col min="13" max="13" width="12.77734375" customWidth="1"/>
    <col min="14" max="14" width="1.21875" customWidth="1"/>
    <col min="15" max="15" width="12.77734375" customWidth="1"/>
    <col min="16" max="16" width="6.77734375" customWidth="1"/>
    <col min="17" max="18" width="9.21875" hidden="1" customWidth="1"/>
  </cols>
  <sheetData>
    <row r="1" spans="1:21" x14ac:dyDescent="0.25">
      <c r="A1" s="53" t="str">
        <f>Info!B5</f>
        <v>APPALACHIAN STATE UNIVERSITY</v>
      </c>
      <c r="B1" s="53"/>
      <c r="C1" s="18"/>
      <c r="D1" s="18"/>
      <c r="E1" s="18"/>
      <c r="F1" s="18"/>
      <c r="G1" s="18"/>
      <c r="H1" s="18"/>
      <c r="I1" s="18"/>
      <c r="K1" s="1"/>
    </row>
    <row r="2" spans="1:21" ht="15" customHeight="1" x14ac:dyDescent="0.25">
      <c r="A2" s="54" t="s">
        <v>235</v>
      </c>
      <c r="B2" s="54"/>
      <c r="C2" s="18"/>
      <c r="D2" s="18"/>
      <c r="E2" s="18"/>
      <c r="F2" s="18"/>
      <c r="H2" s="18"/>
      <c r="I2" s="18"/>
    </row>
    <row r="3" spans="1:21" ht="15" customHeight="1" x14ac:dyDescent="0.25">
      <c r="A3" s="53" t="s">
        <v>514</v>
      </c>
      <c r="B3" s="53"/>
      <c r="C3" s="18"/>
      <c r="D3" s="18"/>
      <c r="E3" s="18"/>
      <c r="F3" s="18"/>
      <c r="G3" s="18"/>
      <c r="H3" s="18"/>
    </row>
    <row r="4" spans="1:21" ht="15" customHeight="1" x14ac:dyDescent="0.3">
      <c r="A4" s="53"/>
      <c r="B4" s="53"/>
      <c r="C4" s="18"/>
      <c r="D4" s="18"/>
      <c r="E4" s="18"/>
      <c r="F4" s="18"/>
      <c r="G4" s="87"/>
      <c r="H4" s="18"/>
    </row>
    <row r="5" spans="1:21" ht="15" customHeight="1" x14ac:dyDescent="0.25">
      <c r="A5" s="53"/>
      <c r="B5" s="53"/>
      <c r="C5" s="18"/>
      <c r="D5" s="18"/>
      <c r="E5" s="18"/>
      <c r="F5" s="18"/>
      <c r="G5" s="18"/>
      <c r="H5" s="18"/>
      <c r="I5" s="72" t="s">
        <v>144</v>
      </c>
      <c r="K5" s="271"/>
      <c r="L5" s="271"/>
      <c r="M5" s="271"/>
      <c r="N5" s="271"/>
      <c r="O5" s="271"/>
      <c r="P5" s="127"/>
      <c r="Q5" s="127"/>
      <c r="R5" s="127"/>
      <c r="S5" s="127"/>
      <c r="T5" s="127"/>
      <c r="U5" s="127"/>
    </row>
    <row r="6" spans="1:21" ht="15" customHeight="1" x14ac:dyDescent="0.25">
      <c r="A6" s="18"/>
      <c r="B6" s="18"/>
      <c r="C6" s="78" t="str">
        <f>IF(Info!B$10=2,"Colleague","NCAS")</f>
        <v>NCAS</v>
      </c>
      <c r="D6" s="18"/>
      <c r="E6" s="18"/>
      <c r="F6" s="18"/>
      <c r="G6" s="18"/>
      <c r="H6" s="18"/>
      <c r="I6" s="72" t="s">
        <v>154</v>
      </c>
      <c r="K6" s="272"/>
      <c r="L6" s="272"/>
      <c r="M6" s="272"/>
      <c r="N6" s="272"/>
      <c r="O6" s="272"/>
      <c r="Q6" s="174" t="s">
        <v>248</v>
      </c>
    </row>
    <row r="7" spans="1:21" ht="15" customHeight="1" x14ac:dyDescent="0.25">
      <c r="A7" s="76" t="s">
        <v>142</v>
      </c>
      <c r="B7" s="77"/>
      <c r="C7" s="76" t="s">
        <v>129</v>
      </c>
      <c r="D7" s="78"/>
      <c r="E7" s="76" t="s">
        <v>0</v>
      </c>
      <c r="F7" s="78"/>
      <c r="G7" s="76" t="s">
        <v>1</v>
      </c>
      <c r="H7" s="78"/>
      <c r="I7" s="73" t="s">
        <v>143</v>
      </c>
      <c r="J7" s="3"/>
      <c r="K7" s="75"/>
      <c r="L7" s="75"/>
      <c r="M7" s="75"/>
      <c r="N7" s="75"/>
      <c r="O7" s="75"/>
      <c r="P7" s="75"/>
      <c r="Q7" s="90" t="s">
        <v>128</v>
      </c>
      <c r="R7" s="89" t="s">
        <v>157</v>
      </c>
    </row>
    <row r="8" spans="1:21" ht="15" customHeight="1" x14ac:dyDescent="0.25">
      <c r="A8" s="79" t="s">
        <v>203</v>
      </c>
      <c r="B8" s="79"/>
      <c r="C8" s="80">
        <f>IF(Info!B$10=2,Summary!R8,Summary!Q8)</f>
        <v>229160</v>
      </c>
      <c r="D8" s="80"/>
      <c r="E8" s="81">
        <f>SUMIF(Detail!$C$8:$C$62,$C8,Detail!E$8:E$62)</f>
        <v>76703515</v>
      </c>
      <c r="F8" s="82"/>
      <c r="G8" s="81">
        <f>SUMIF(Detail!$C$8:$C$62,$C8,Detail!F$8:F$62)</f>
        <v>0</v>
      </c>
      <c r="H8" s="82"/>
      <c r="I8" s="46">
        <f t="shared" ref="I8:I17" si="0">E8-G8</f>
        <v>76703515</v>
      </c>
      <c r="J8" s="193"/>
      <c r="K8" s="81"/>
      <c r="L8" s="81"/>
      <c r="M8" s="81"/>
      <c r="O8" s="81"/>
      <c r="Q8" s="175">
        <v>229160</v>
      </c>
      <c r="R8">
        <v>242081</v>
      </c>
    </row>
    <row r="9" spans="1:21" ht="15" customHeight="1" x14ac:dyDescent="0.25">
      <c r="A9" s="79" t="s">
        <v>196</v>
      </c>
      <c r="B9" s="79"/>
      <c r="C9" s="80">
        <f>IF(Info!B$10=2,Summary!R9,Summary!Q9)</f>
        <v>129720</v>
      </c>
      <c r="D9" s="80"/>
      <c r="E9" s="50">
        <f>SUMIF(Detail!$C$8:$C$62,$C9,Detail!E$8:E$62)</f>
        <v>2586474</v>
      </c>
      <c r="F9" s="82"/>
      <c r="G9" s="50">
        <f>SUMIF(Detail!$C$8:$C$62,$C9,Detail!F$8:F$62)</f>
        <v>24905009</v>
      </c>
      <c r="H9" s="82"/>
      <c r="I9" s="47">
        <f>E9-G9</f>
        <v>-22318535</v>
      </c>
      <c r="J9" s="194"/>
      <c r="K9" s="50"/>
      <c r="L9" s="50"/>
      <c r="M9" s="50"/>
      <c r="O9" s="50"/>
      <c r="Q9" s="80">
        <v>129720</v>
      </c>
      <c r="R9">
        <v>124091</v>
      </c>
    </row>
    <row r="10" spans="1:21" ht="15" customHeight="1" x14ac:dyDescent="0.25">
      <c r="A10" s="79" t="s">
        <v>198</v>
      </c>
      <c r="B10" s="79"/>
      <c r="C10" s="80">
        <f>IF(Info!B$10=2,Summary!R10,Summary!Q10)</f>
        <v>229220</v>
      </c>
      <c r="D10" s="80"/>
      <c r="E10" s="50">
        <f>SUMIF(Detail!$C$8:$C$62,$C10,Detail!E$8:E$62)</f>
        <v>11083229</v>
      </c>
      <c r="F10" s="82"/>
      <c r="G10" s="50">
        <f>SUMIF(Detail!$C$8:$C$62,$C10,Detail!F$8:F$62)</f>
        <v>33078362</v>
      </c>
      <c r="H10" s="82"/>
      <c r="I10" s="47">
        <f>E10-G10</f>
        <v>-21995133</v>
      </c>
      <c r="J10" s="194"/>
      <c r="K10" s="50"/>
      <c r="L10" s="50"/>
      <c r="M10" s="50"/>
      <c r="O10" s="50"/>
      <c r="Q10" s="80">
        <v>229220</v>
      </c>
      <c r="R10">
        <v>242091</v>
      </c>
    </row>
    <row r="11" spans="1:21" ht="15" customHeight="1" x14ac:dyDescent="0.25">
      <c r="A11" s="79" t="s">
        <v>202</v>
      </c>
      <c r="B11" s="79"/>
      <c r="C11" s="80">
        <f>IF(Info!B$10=2,Summary!R11,Summary!Q11)</f>
        <v>531598</v>
      </c>
      <c r="D11" s="80"/>
      <c r="E11" s="50">
        <f>SUMIF(Detail!$C$8:$C$62,$C11,Detail!E$8:E$62)</f>
        <v>0</v>
      </c>
      <c r="F11" s="82"/>
      <c r="G11" s="50">
        <f>SUMIF(Detail!$C$8:$C$62,$C11,Detail!F$8:F$62)</f>
        <v>30536357</v>
      </c>
      <c r="H11" s="82"/>
      <c r="I11" s="47">
        <f t="shared" si="0"/>
        <v>-30536357</v>
      </c>
      <c r="J11" s="194"/>
      <c r="K11" s="50"/>
      <c r="L11" s="50"/>
      <c r="M11" s="50"/>
      <c r="O11" s="50"/>
      <c r="Q11" s="80">
        <v>531598</v>
      </c>
      <c r="R11">
        <v>518251</v>
      </c>
    </row>
    <row r="12" spans="1:21" ht="15" customHeight="1" x14ac:dyDescent="0.25">
      <c r="A12" s="79" t="s">
        <v>236</v>
      </c>
      <c r="B12" s="79"/>
      <c r="C12" s="80">
        <f>IF(Info!B$10=2,Summary!R12,Summary!Q12)</f>
        <v>531520</v>
      </c>
      <c r="D12" s="80"/>
      <c r="E12" s="50">
        <f>SUMIF(Detail!$C$8:$C$62,$C12,Detail!E$8:E$62)</f>
        <v>0</v>
      </c>
      <c r="F12" s="82"/>
      <c r="G12" s="50">
        <f>SUMIF(Detail!$C$8:$C$62,$C12,Detail!F$8:F$62)</f>
        <v>0</v>
      </c>
      <c r="H12" s="82"/>
      <c r="I12" s="47">
        <f t="shared" si="0"/>
        <v>0</v>
      </c>
      <c r="J12" s="194"/>
      <c r="K12" s="50"/>
      <c r="L12" s="50"/>
      <c r="M12" s="50"/>
      <c r="O12" s="50"/>
      <c r="Q12" s="80">
        <v>531520</v>
      </c>
      <c r="R12">
        <v>518200</v>
      </c>
    </row>
    <row r="13" spans="1:21" ht="15" hidden="1" customHeight="1" x14ac:dyDescent="0.25">
      <c r="A13" s="79" t="s">
        <v>127</v>
      </c>
      <c r="B13" s="79"/>
      <c r="C13" s="80">
        <f>IF(Info!B$10=2,Summary!R13,Summary!Q13)</f>
        <v>330001</v>
      </c>
      <c r="D13" s="80"/>
      <c r="E13" s="50">
        <f>SUMIF(Detail!$C$8:$C$62,$C13,Detail!E$8:E$62)</f>
        <v>0</v>
      </c>
      <c r="F13" s="82"/>
      <c r="G13" s="50">
        <f>SUMIF(Detail!$C$8:$C$62,$C13,Detail!F$8:F$62)</f>
        <v>0</v>
      </c>
      <c r="H13" s="82"/>
      <c r="I13" s="47">
        <f>E13-G13</f>
        <v>0</v>
      </c>
      <c r="J13" s="194"/>
      <c r="K13" s="50"/>
      <c r="L13" s="50"/>
      <c r="M13" s="50"/>
      <c r="O13" s="50"/>
      <c r="Q13" s="80">
        <v>330001</v>
      </c>
      <c r="R13">
        <v>379000</v>
      </c>
    </row>
    <row r="14" spans="1:21" ht="15" customHeight="1" x14ac:dyDescent="0.25">
      <c r="A14" s="79" t="s">
        <v>493</v>
      </c>
      <c r="B14" s="79"/>
      <c r="C14" s="80">
        <f>IF(Info!B$10=2,Summary!R14,Summary!Q14)</f>
        <v>535900</v>
      </c>
      <c r="D14" s="80"/>
      <c r="E14" s="50">
        <f>SUMIF(Detail!$C$8:$C$62,$C14,Detail!E$8:E$62)</f>
        <v>0</v>
      </c>
      <c r="F14" s="82"/>
      <c r="G14" s="50">
        <f>SUMIF(Detail!$C$8:$C$62,$C14,Detail!F$8:F$62)</f>
        <v>0</v>
      </c>
      <c r="H14" s="82"/>
      <c r="I14" s="47">
        <f t="shared" si="0"/>
        <v>0</v>
      </c>
      <c r="J14" s="194"/>
      <c r="K14" s="50"/>
      <c r="L14" s="50"/>
      <c r="M14" s="50"/>
      <c r="O14" s="50"/>
      <c r="Q14" s="154">
        <v>535900</v>
      </c>
      <c r="R14">
        <v>539600</v>
      </c>
    </row>
    <row r="15" spans="1:21" ht="15" customHeight="1" x14ac:dyDescent="0.25">
      <c r="A15" s="79" t="s">
        <v>494</v>
      </c>
      <c r="B15" s="79"/>
      <c r="C15" s="154">
        <f>IF(Info!B$10=2,Summary!R15,Summary!Q15)</f>
        <v>437995</v>
      </c>
      <c r="D15" s="80"/>
      <c r="E15" s="50">
        <f>SUMIF(Detail!$C$8:$C$62,$C15,Detail!E$8:E$62)</f>
        <v>0</v>
      </c>
      <c r="F15" s="82"/>
      <c r="G15" s="50">
        <f>SUMIF(Detail!$C$8:$C$62,$C15,Detail!F$8:F$62)</f>
        <v>0</v>
      </c>
      <c r="H15" s="82"/>
      <c r="I15" s="47">
        <f t="shared" si="0"/>
        <v>0</v>
      </c>
      <c r="J15" s="194"/>
      <c r="K15" s="50"/>
      <c r="L15" s="50"/>
      <c r="M15" s="50"/>
      <c r="O15" s="50"/>
      <c r="Q15" s="154">
        <v>437995</v>
      </c>
      <c r="R15">
        <v>493200</v>
      </c>
    </row>
    <row r="16" spans="1:21" ht="15" customHeight="1" x14ac:dyDescent="0.25">
      <c r="A16" s="221" t="s">
        <v>495</v>
      </c>
      <c r="B16" s="221"/>
      <c r="C16" s="222">
        <f>IF(Info!B$10=2,Summary!R16,Summary!Q16)</f>
        <v>436207</v>
      </c>
      <c r="D16" s="222"/>
      <c r="E16" s="223">
        <f>SUMIF(Detail!$C$8:$C$62,$C16,Detail!E$8:E$62)</f>
        <v>0</v>
      </c>
      <c r="F16" s="224"/>
      <c r="G16" s="227">
        <f>SUMIF(Detail!$C$8:$C$62,$C16,Detail!F$8:F$62)</f>
        <v>1853490</v>
      </c>
      <c r="H16" s="224"/>
      <c r="I16" s="223">
        <f t="shared" ref="I16" si="1">E16-G16</f>
        <v>-1853490</v>
      </c>
      <c r="J16" s="194"/>
      <c r="K16" s="50"/>
      <c r="L16" s="50"/>
      <c r="M16" s="50"/>
      <c r="O16" s="50"/>
      <c r="Q16" s="154">
        <v>436207</v>
      </c>
      <c r="R16">
        <v>493351</v>
      </c>
    </row>
    <row r="17" spans="1:18" ht="15" customHeight="1" x14ac:dyDescent="0.25">
      <c r="A17" s="79" t="s">
        <v>127</v>
      </c>
      <c r="B17" s="79"/>
      <c r="C17" s="80">
        <f>IF(Info!B$10=2,Summary!R17,Summary!Q17)</f>
        <v>330001</v>
      </c>
      <c r="D17" s="80"/>
      <c r="E17" s="50">
        <f>SUMIF(Detail!$C$24:$C$62,$C17,Detail!E$24:E$62)</f>
        <v>0</v>
      </c>
      <c r="F17" s="82"/>
      <c r="G17" s="50">
        <f>SUMIF(Detail!$C$24:$C$62,$C17,Detail!F$24:F$62)</f>
        <v>0</v>
      </c>
      <c r="H17" s="82"/>
      <c r="I17" s="74">
        <f t="shared" si="0"/>
        <v>0</v>
      </c>
      <c r="J17" s="194"/>
      <c r="K17" s="50"/>
      <c r="L17" s="50"/>
      <c r="M17" s="50"/>
      <c r="N17" s="50"/>
      <c r="O17" s="50"/>
      <c r="P17" s="50"/>
      <c r="Q17" s="80">
        <v>330001</v>
      </c>
      <c r="R17">
        <v>379000</v>
      </c>
    </row>
    <row r="18" spans="1:18" ht="15" customHeight="1" thickBot="1" x14ac:dyDescent="0.3">
      <c r="A18" s="84" t="s">
        <v>4</v>
      </c>
      <c r="B18" s="84"/>
      <c r="C18" s="85"/>
      <c r="D18" s="85"/>
      <c r="E18" s="86">
        <f>SUM(E8:E17)</f>
        <v>90373218</v>
      </c>
      <c r="F18" s="82"/>
      <c r="G18" s="86">
        <f>SUM(G8:G17)</f>
        <v>90373218</v>
      </c>
      <c r="H18" s="82"/>
      <c r="I18" s="214">
        <f>SUM(I8:I17)</f>
        <v>0</v>
      </c>
      <c r="J18" s="193"/>
      <c r="K18" s="81"/>
      <c r="L18" s="81"/>
      <c r="M18" s="81"/>
      <c r="N18" s="81"/>
      <c r="O18" s="81"/>
      <c r="P18" s="81"/>
    </row>
    <row r="19" spans="1:18" ht="15" customHeight="1" thickTop="1" x14ac:dyDescent="0.25"/>
    <row r="20" spans="1:18" ht="15" customHeight="1" x14ac:dyDescent="0.25">
      <c r="A20" s="155" t="s">
        <v>193</v>
      </c>
    </row>
    <row r="21" spans="1:18" ht="105" customHeight="1" x14ac:dyDescent="0.25">
      <c r="A21" s="273" t="s">
        <v>522</v>
      </c>
      <c r="B21" s="274"/>
      <c r="C21" s="274"/>
      <c r="D21" s="274"/>
      <c r="E21" s="274"/>
      <c r="F21" s="274"/>
      <c r="G21" s="274"/>
      <c r="H21" s="274"/>
      <c r="I21" s="274"/>
    </row>
    <row r="22" spans="1:18" ht="10.050000000000001" customHeight="1" x14ac:dyDescent="0.25"/>
    <row r="24" spans="1:18" s="212" customFormat="1" ht="118.2" customHeight="1" x14ac:dyDescent="0.25">
      <c r="A24" s="275" t="s">
        <v>498</v>
      </c>
      <c r="B24" s="275"/>
      <c r="C24" s="275"/>
      <c r="D24" s="275"/>
      <c r="E24" s="275"/>
      <c r="F24" s="275"/>
      <c r="G24" s="275"/>
      <c r="H24" s="275"/>
      <c r="I24" s="275"/>
    </row>
    <row r="29" spans="1:18" x14ac:dyDescent="0.25">
      <c r="A29" s="156"/>
    </row>
    <row r="30" spans="1:18" x14ac:dyDescent="0.25">
      <c r="A30" s="156"/>
    </row>
    <row r="31" spans="1:18" x14ac:dyDescent="0.25">
      <c r="A31" s="156"/>
    </row>
    <row r="32" spans="1:18" x14ac:dyDescent="0.25">
      <c r="A32" s="156"/>
    </row>
  </sheetData>
  <sheetProtection algorithmName="SHA-512" hashValue="wRkrpquIm39B1jIxl88bszHMnkSgiK/tFm0vbSie1e8ZLnsWtbOlCE56mpR3p1E0h29lOCZ4CEIQ6iGJS/hd/w==" saltValue="M4henc4VuqCiKTS7WZHW5A==" spinCount="100000" sheet="1" objects="1" scenarios="1"/>
  <mergeCells count="4">
    <mergeCell ref="K5:O5"/>
    <mergeCell ref="K6:O6"/>
    <mergeCell ref="A21:I21"/>
    <mergeCell ref="A24:I24"/>
  </mergeCells>
  <phoneticPr fontId="9" type="noConversion"/>
  <pageMargins left="0.5" right="0.5" top="0.3" bottom="0.35" header="0.5" footer="0.15"/>
  <pageSetup orientation="portrait" r:id="rId1"/>
  <headerFooter>
    <oddFooter>&amp;L&amp;"Arial Narrow,Regular"&amp;9&amp;Z&amp;F&amp;R&amp;"Arial Narrow,Regular"&amp;9&amp;D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81"/>
  <sheetViews>
    <sheetView showGridLines="0" workbookViewId="0"/>
  </sheetViews>
  <sheetFormatPr defaultRowHeight="13.2" x14ac:dyDescent="0.25"/>
  <cols>
    <col min="1" max="1" width="2.77734375" customWidth="1"/>
    <col min="2" max="2" width="35.77734375" customWidth="1"/>
    <col min="3" max="3" width="4.21875" hidden="1" customWidth="1"/>
    <col min="4" max="4" width="15.77734375" customWidth="1"/>
    <col min="5" max="5" width="1.21875" customWidth="1"/>
    <col min="6" max="6" width="4.21875" hidden="1" customWidth="1"/>
    <col min="7" max="7" width="15.77734375" customWidth="1"/>
    <col min="8" max="8" width="4.77734375" customWidth="1"/>
    <col min="9" max="9" width="1.77734375" customWidth="1"/>
    <col min="10" max="10" width="15.5546875" bestFit="1" customWidth="1"/>
    <col min="11" max="11" width="1.77734375" customWidth="1"/>
    <col min="12" max="12" width="11.77734375" bestFit="1" customWidth="1"/>
    <col min="13" max="13" width="1.21875" customWidth="1"/>
    <col min="14" max="14" width="15.77734375" customWidth="1"/>
    <col min="15" max="15" width="1.21875" customWidth="1"/>
    <col min="16" max="16" width="15.77734375" customWidth="1"/>
    <col min="17" max="17" width="1.21875" customWidth="1"/>
    <col min="18" max="18" width="11.77734375" customWidth="1"/>
    <col min="19" max="19" width="1.21875" customWidth="1"/>
    <col min="20" max="20" width="11.77734375" customWidth="1"/>
    <col min="21" max="21" width="1.21875" customWidth="1"/>
    <col min="22" max="22" width="11.77734375" customWidth="1"/>
    <col min="23" max="23" width="1.21875" customWidth="1"/>
    <col min="24" max="24" width="11.77734375" bestFit="1" customWidth="1"/>
    <col min="25" max="25" width="1.21875" customWidth="1"/>
    <col min="26" max="26" width="10.21875" bestFit="1" customWidth="1"/>
  </cols>
  <sheetData>
    <row r="1" spans="1:26" x14ac:dyDescent="0.25">
      <c r="A1" s="1" t="str">
        <f>Info!B5</f>
        <v>APPALACHIAN STATE UNIVERSITY</v>
      </c>
    </row>
    <row r="2" spans="1:26" x14ac:dyDescent="0.25">
      <c r="A2" s="1" t="s">
        <v>238</v>
      </c>
    </row>
    <row r="3" spans="1:26" x14ac:dyDescent="0.25">
      <c r="A3" s="1" t="s">
        <v>514</v>
      </c>
    </row>
    <row r="4" spans="1:26" ht="17.399999999999999" x14ac:dyDescent="0.3">
      <c r="A4" s="1"/>
      <c r="G4" s="55"/>
    </row>
    <row r="5" spans="1:26" ht="8.1" customHeight="1" x14ac:dyDescent="0.25">
      <c r="A5" s="1"/>
    </row>
    <row r="6" spans="1:26" x14ac:dyDescent="0.25">
      <c r="A6" s="2" t="s">
        <v>27</v>
      </c>
      <c r="B6" s="92" t="s">
        <v>148</v>
      </c>
      <c r="C6" s="93"/>
      <c r="D6" s="93"/>
      <c r="E6" s="93"/>
      <c r="F6" s="93"/>
      <c r="G6" s="93"/>
      <c r="H6" s="94"/>
    </row>
    <row r="7" spans="1:26" x14ac:dyDescent="0.25">
      <c r="A7" s="2"/>
      <c r="B7" s="95" t="s">
        <v>219</v>
      </c>
      <c r="C7" s="18"/>
      <c r="D7" s="18"/>
      <c r="E7" s="18"/>
      <c r="F7" s="18"/>
      <c r="G7" s="18"/>
      <c r="H7" s="96"/>
      <c r="J7" s="4" t="s">
        <v>30</v>
      </c>
      <c r="K7" s="4"/>
    </row>
    <row r="8" spans="1:26" x14ac:dyDescent="0.25">
      <c r="B8" s="97"/>
      <c r="C8" s="18"/>
      <c r="D8" s="18"/>
      <c r="E8" s="18"/>
      <c r="F8" s="18"/>
      <c r="G8" s="18"/>
      <c r="H8" s="96"/>
      <c r="J8" s="4" t="s">
        <v>147</v>
      </c>
      <c r="K8" s="4"/>
      <c r="L8" s="276"/>
      <c r="M8" s="276"/>
      <c r="N8" s="276"/>
    </row>
    <row r="9" spans="1:26" x14ac:dyDescent="0.25">
      <c r="B9" s="98"/>
      <c r="C9" s="91"/>
      <c r="D9" s="85" t="s">
        <v>6</v>
      </c>
      <c r="E9" s="91"/>
      <c r="F9" s="91"/>
      <c r="G9" s="85" t="s">
        <v>7</v>
      </c>
      <c r="H9" s="96"/>
      <c r="J9" s="4" t="s">
        <v>146</v>
      </c>
      <c r="K9" s="4"/>
      <c r="L9" s="276"/>
      <c r="M9" s="276"/>
      <c r="N9" s="276"/>
      <c r="O9" s="276"/>
      <c r="P9" s="276"/>
      <c r="R9" s="276"/>
      <c r="S9" s="276"/>
      <c r="T9" s="276"/>
      <c r="U9" s="276"/>
      <c r="V9" s="276"/>
      <c r="X9" s="276"/>
      <c r="Y9" s="276"/>
      <c r="Z9" s="276"/>
    </row>
    <row r="10" spans="1:26" x14ac:dyDescent="0.25">
      <c r="B10" s="98"/>
      <c r="C10" s="99" t="s">
        <v>14</v>
      </c>
      <c r="D10" s="100" t="s">
        <v>5</v>
      </c>
      <c r="E10" s="85"/>
      <c r="F10" s="100" t="s">
        <v>14</v>
      </c>
      <c r="G10" s="100" t="s">
        <v>5</v>
      </c>
      <c r="H10" s="96"/>
      <c r="J10" s="14" t="s">
        <v>220</v>
      </c>
      <c r="K10" s="4"/>
      <c r="L10" s="5"/>
      <c r="N10" s="5"/>
      <c r="P10" s="5"/>
      <c r="R10" s="5"/>
      <c r="T10" s="5"/>
      <c r="V10" s="5"/>
      <c r="X10" s="5"/>
      <c r="Z10" s="5"/>
    </row>
    <row r="11" spans="1:26" x14ac:dyDescent="0.25">
      <c r="B11" s="95" t="s">
        <v>8</v>
      </c>
      <c r="C11" s="101"/>
      <c r="D11" s="81"/>
      <c r="E11" s="18"/>
      <c r="F11" s="101"/>
      <c r="G11" s="102"/>
      <c r="H11" s="96"/>
      <c r="J11" s="15"/>
      <c r="K11" s="15"/>
    </row>
    <row r="12" spans="1:26" x14ac:dyDescent="0.25">
      <c r="B12" s="95" t="s">
        <v>9</v>
      </c>
      <c r="C12" s="101">
        <v>1</v>
      </c>
      <c r="D12" s="81">
        <f>Detail!E13+SUMIF(Detail!$D$24:$D$62,$C12,Detail!E$24:E$62)-SUMIF(Detail!$D$24:$D$62,$C12,Detail!F$24:F$62)</f>
        <v>2367367</v>
      </c>
      <c r="E12" s="18"/>
      <c r="F12" s="101">
        <v>6</v>
      </c>
      <c r="G12" s="102">
        <f>Detail!F16+SUMIF(Detail!$D$24:$D$62,$F12,Detail!F$24:F$62)-SUMIF(Detail!$D$24:$D$62,$F12,Detail!E$24:E$62)</f>
        <v>674731</v>
      </c>
      <c r="H12" s="96"/>
      <c r="J12" s="15">
        <f>D12-G12</f>
        <v>1692636</v>
      </c>
      <c r="K12" s="15"/>
      <c r="L12" s="81"/>
      <c r="N12" s="81"/>
      <c r="P12" s="81"/>
      <c r="R12" s="81"/>
      <c r="T12" s="81"/>
      <c r="V12" s="81"/>
      <c r="X12" s="15"/>
      <c r="Z12" s="15"/>
    </row>
    <row r="13" spans="1:26" x14ac:dyDescent="0.25">
      <c r="B13" s="98"/>
      <c r="C13" s="101"/>
      <c r="D13" s="103"/>
      <c r="E13" s="18"/>
      <c r="F13" s="101"/>
      <c r="G13" s="104"/>
      <c r="H13" s="96"/>
      <c r="Z13" s="15"/>
    </row>
    <row r="14" spans="1:26" x14ac:dyDescent="0.25">
      <c r="B14" s="95" t="s">
        <v>133</v>
      </c>
      <c r="C14" s="101">
        <v>2</v>
      </c>
      <c r="D14" s="50">
        <f>Detail!E11+SUMIF(Detail!$D$24:$D$62,$C14,Detail!E$24:E$62)-SUMIF(Detail!$D$24:$D$62,$C14,Detail!F$24:F$62)</f>
        <v>19522589</v>
      </c>
      <c r="E14" s="18"/>
      <c r="F14" s="101">
        <v>7</v>
      </c>
      <c r="G14" s="50">
        <f>Detail!F18+SUMIF(Detail!$D$24:$D$62,$F14,Detail!F$24:F$62)-SUMIF(Detail!$D$24:$D$62,$F14,Detail!E$24:E$62)</f>
        <v>110977490</v>
      </c>
      <c r="H14" s="96"/>
      <c r="J14" s="50">
        <f>D14-G14</f>
        <v>-91454901</v>
      </c>
      <c r="K14" s="50"/>
      <c r="L14" s="50"/>
      <c r="N14" s="50"/>
      <c r="P14" s="50"/>
      <c r="R14" s="50"/>
      <c r="T14" s="50"/>
      <c r="V14" s="50"/>
      <c r="X14" s="16"/>
      <c r="Z14" s="16"/>
    </row>
    <row r="15" spans="1:26" x14ac:dyDescent="0.25">
      <c r="B15" s="98"/>
      <c r="C15" s="101"/>
      <c r="D15" s="103"/>
      <c r="E15" s="18"/>
      <c r="F15" s="101"/>
      <c r="G15" s="104"/>
      <c r="H15" s="96"/>
      <c r="X15" s="16"/>
      <c r="Z15" s="15"/>
    </row>
    <row r="16" spans="1:26" ht="12.75" customHeight="1" x14ac:dyDescent="0.25">
      <c r="B16" s="191" t="s">
        <v>10</v>
      </c>
      <c r="C16" s="101"/>
      <c r="D16" s="50"/>
      <c r="E16" s="18"/>
      <c r="F16" s="101"/>
      <c r="G16" s="50"/>
      <c r="H16" s="96"/>
      <c r="J16" s="16"/>
      <c r="K16" s="16"/>
      <c r="N16" s="282"/>
      <c r="O16" s="282"/>
      <c r="P16" s="282"/>
      <c r="X16" s="16"/>
      <c r="Z16" s="15"/>
    </row>
    <row r="17" spans="2:26" x14ac:dyDescent="0.25">
      <c r="B17" s="191" t="s">
        <v>221</v>
      </c>
      <c r="C17" s="101"/>
      <c r="D17" s="103"/>
      <c r="E17" s="18"/>
      <c r="F17" s="101"/>
      <c r="G17" s="104"/>
      <c r="H17" s="96"/>
      <c r="N17" s="4"/>
      <c r="O17" s="2"/>
      <c r="P17" s="4"/>
      <c r="X17" s="16"/>
      <c r="Z17" s="15"/>
    </row>
    <row r="18" spans="2:26" x14ac:dyDescent="0.25">
      <c r="B18" s="191" t="s">
        <v>140</v>
      </c>
      <c r="C18" s="101">
        <v>3</v>
      </c>
      <c r="D18" s="50">
        <f>Detail!E12+SUMIF(Detail!$D$24:$D$62,$C18,Detail!E$24:E$62)-SUMIF(Detail!$D$24:$D$62,$C18,Detail!F$24:F$62)</f>
        <v>2111552</v>
      </c>
      <c r="E18" s="18"/>
      <c r="F18" s="101">
        <v>8</v>
      </c>
      <c r="G18" s="50">
        <f>Detail!F17+SUMIF(Detail!$D$24:$D$62,$F18,Detail!F$24:F$62)-SUMIF(Detail!$D$24:$D$62,$F18,Detail!E$24:E$62)</f>
        <v>0</v>
      </c>
      <c r="H18" s="96"/>
      <c r="J18" s="50">
        <f>D18-G18</f>
        <v>2111552</v>
      </c>
      <c r="K18" s="50"/>
      <c r="L18" s="50"/>
      <c r="N18" s="50"/>
      <c r="P18" s="50"/>
      <c r="R18" s="50"/>
      <c r="T18" s="50"/>
      <c r="V18" s="50"/>
      <c r="X18" s="16"/>
      <c r="Z18" s="16"/>
    </row>
    <row r="19" spans="2:26" x14ac:dyDescent="0.25">
      <c r="B19" s="98"/>
      <c r="C19" s="101"/>
      <c r="D19" s="103"/>
      <c r="E19" s="18"/>
      <c r="F19" s="101"/>
      <c r="G19" s="104"/>
      <c r="H19" s="96"/>
      <c r="X19" s="16"/>
      <c r="Z19" s="15"/>
    </row>
    <row r="20" spans="2:26" x14ac:dyDescent="0.25">
      <c r="B20" s="95" t="s">
        <v>19</v>
      </c>
      <c r="C20" s="101"/>
      <c r="D20" s="50"/>
      <c r="E20" s="18"/>
      <c r="F20" s="101"/>
      <c r="G20" s="50"/>
      <c r="H20" s="96"/>
      <c r="J20" s="16"/>
      <c r="K20" s="16"/>
      <c r="X20" s="16"/>
      <c r="Z20" s="15"/>
    </row>
    <row r="21" spans="2:26" x14ac:dyDescent="0.25">
      <c r="B21" s="95" t="s">
        <v>20</v>
      </c>
      <c r="C21" s="101"/>
      <c r="D21" s="103"/>
      <c r="E21" s="18"/>
      <c r="F21" s="101"/>
      <c r="G21" s="104"/>
      <c r="H21" s="96"/>
      <c r="X21" s="16"/>
      <c r="Z21" s="15"/>
    </row>
    <row r="22" spans="2:26" x14ac:dyDescent="0.25">
      <c r="B22" s="95" t="s">
        <v>21</v>
      </c>
      <c r="C22" s="101">
        <v>4</v>
      </c>
      <c r="D22" s="50">
        <f>Detail!E10+SUMIF(Detail!$D$24:$D$62,$C22,Detail!E$24:E$62)-SUMIF(Detail!$D$24:$D$62,$C22,Detail!F$24:F$62)</f>
        <v>7794649</v>
      </c>
      <c r="E22" s="18"/>
      <c r="F22" s="101">
        <v>9</v>
      </c>
      <c r="G22" s="50">
        <f>Detail!F19+SUMIF(Detail!$D$24:$D$62,$F22,Detail!F$24:F$62)-SUMIF(Detail!$D$24:$D$62,$F22,Detail!E$24:E$62)</f>
        <v>2659009</v>
      </c>
      <c r="H22" s="96"/>
      <c r="J22" s="83">
        <f>D22-G22</f>
        <v>5135640</v>
      </c>
      <c r="K22" s="50"/>
      <c r="L22" s="50"/>
      <c r="N22" s="50"/>
      <c r="P22" s="50"/>
      <c r="R22" s="50"/>
      <c r="T22" s="50"/>
      <c r="V22" s="50"/>
      <c r="X22" s="16"/>
      <c r="Z22" s="16"/>
    </row>
    <row r="23" spans="2:26" ht="13.8" thickBot="1" x14ac:dyDescent="0.3">
      <c r="B23" s="95"/>
      <c r="C23" s="101"/>
      <c r="D23" s="103"/>
      <c r="E23" s="18"/>
      <c r="F23" s="101"/>
      <c r="G23" s="104"/>
      <c r="H23" s="96"/>
      <c r="J23" s="259">
        <f>J12+J14+J18+J22</f>
        <v>-82515073</v>
      </c>
      <c r="K23" s="15"/>
      <c r="X23" s="15"/>
      <c r="Z23" s="15"/>
    </row>
    <row r="24" spans="2:26" ht="13.8" thickTop="1" x14ac:dyDescent="0.25">
      <c r="B24" s="95" t="s">
        <v>11</v>
      </c>
      <c r="C24" s="101"/>
      <c r="D24" s="50"/>
      <c r="E24" s="18"/>
      <c r="F24" s="101"/>
      <c r="G24" s="50"/>
      <c r="H24" s="96"/>
      <c r="J24" s="16"/>
      <c r="K24" s="16"/>
      <c r="X24" s="16"/>
    </row>
    <row r="25" spans="2:26" ht="13.8" x14ac:dyDescent="0.3">
      <c r="B25" s="95" t="s">
        <v>12</v>
      </c>
      <c r="C25" s="101">
        <v>5</v>
      </c>
      <c r="D25" s="50">
        <f>SUMIF(Detail!$D$24:$D$62,$C25,Detail!E$24:E$62)</f>
        <v>0</v>
      </c>
      <c r="E25" s="18"/>
      <c r="F25" s="101"/>
      <c r="G25" s="50">
        <v>0</v>
      </c>
      <c r="H25" s="96"/>
      <c r="J25" s="50"/>
      <c r="K25" s="50"/>
      <c r="L25" s="130"/>
      <c r="N25" s="130"/>
      <c r="P25" s="50"/>
      <c r="R25" s="50"/>
      <c r="T25" s="50"/>
      <c r="V25" s="50"/>
      <c r="X25" s="16"/>
    </row>
    <row r="26" spans="2:26" ht="14.55" customHeight="1" thickBot="1" x14ac:dyDescent="0.3">
      <c r="B26" s="105" t="s">
        <v>13</v>
      </c>
      <c r="C26" s="18"/>
      <c r="D26" s="106">
        <f>SUM(D12:D25)</f>
        <v>31796157</v>
      </c>
      <c r="E26" s="18"/>
      <c r="F26" s="18"/>
      <c r="G26" s="106">
        <f>SUM(G12:G25)</f>
        <v>114311230</v>
      </c>
      <c r="H26" s="96"/>
      <c r="J26" s="4"/>
      <c r="K26" s="4"/>
      <c r="L26" s="52"/>
      <c r="N26" s="52"/>
      <c r="P26" s="52"/>
      <c r="R26" s="52"/>
      <c r="T26" s="52"/>
      <c r="V26" s="52"/>
    </row>
    <row r="27" spans="2:26" ht="14.55" customHeight="1" thickTop="1" x14ac:dyDescent="0.25">
      <c r="B27" s="105"/>
      <c r="C27" s="18"/>
      <c r="D27" s="52"/>
      <c r="E27" s="18"/>
      <c r="F27" s="18"/>
      <c r="G27" s="52"/>
      <c r="H27" s="96"/>
      <c r="J27" s="52"/>
      <c r="K27" s="52"/>
    </row>
    <row r="28" spans="2:26" ht="64.05" customHeight="1" x14ac:dyDescent="0.25">
      <c r="B28" s="286" t="s">
        <v>222</v>
      </c>
      <c r="C28" s="287"/>
      <c r="D28" s="287"/>
      <c r="E28" s="287"/>
      <c r="F28" s="287"/>
      <c r="G28" s="287"/>
      <c r="H28" s="288"/>
      <c r="J28" s="52"/>
      <c r="K28" s="52"/>
      <c r="L28" s="285"/>
      <c r="M28" s="285"/>
      <c r="N28" s="285"/>
      <c r="O28" s="285"/>
      <c r="P28" s="285"/>
      <c r="Q28" s="285"/>
    </row>
    <row r="29" spans="2:26" x14ac:dyDescent="0.25">
      <c r="B29" s="105"/>
      <c r="C29" s="18"/>
      <c r="D29" s="52"/>
      <c r="E29" s="18"/>
      <c r="F29" s="18"/>
      <c r="G29" s="52"/>
      <c r="H29" s="96"/>
    </row>
    <row r="30" spans="2:26" x14ac:dyDescent="0.25">
      <c r="B30" s="107" t="s">
        <v>223</v>
      </c>
      <c r="C30" s="18"/>
      <c r="D30" s="52"/>
      <c r="E30" s="18"/>
      <c r="F30" s="18"/>
      <c r="G30" s="52"/>
      <c r="H30" s="96"/>
    </row>
    <row r="31" spans="2:26" ht="12.75" customHeight="1" x14ac:dyDescent="0.25">
      <c r="B31" s="108"/>
      <c r="C31" s="109"/>
      <c r="D31" s="109"/>
      <c r="E31" s="109"/>
      <c r="F31" s="109"/>
      <c r="G31" s="109"/>
      <c r="H31" s="110"/>
    </row>
    <row r="32" spans="2:26" ht="15.75" customHeight="1" x14ac:dyDescent="0.25">
      <c r="B32" s="2"/>
    </row>
    <row r="33" spans="1:16" x14ac:dyDescent="0.25">
      <c r="A33" s="2" t="s">
        <v>28</v>
      </c>
      <c r="B33" s="92" t="s">
        <v>149</v>
      </c>
      <c r="C33" s="93"/>
      <c r="D33" s="93"/>
      <c r="E33" s="93"/>
      <c r="F33" s="93"/>
      <c r="G33" s="93"/>
      <c r="H33" s="94"/>
    </row>
    <row r="34" spans="1:16" x14ac:dyDescent="0.25">
      <c r="A34" s="2"/>
      <c r="B34" s="95" t="s">
        <v>150</v>
      </c>
      <c r="C34" s="18"/>
      <c r="D34" s="18"/>
      <c r="E34" s="18"/>
      <c r="F34" s="18"/>
      <c r="G34" s="18"/>
      <c r="H34" s="96"/>
    </row>
    <row r="35" spans="1:16" x14ac:dyDescent="0.25">
      <c r="A35" s="2"/>
      <c r="B35" s="95" t="s">
        <v>224</v>
      </c>
      <c r="C35" s="18"/>
      <c r="D35" s="18"/>
      <c r="E35" s="18"/>
      <c r="F35" s="18"/>
      <c r="G35" s="18"/>
      <c r="H35" s="96"/>
    </row>
    <row r="36" spans="1:16" x14ac:dyDescent="0.25">
      <c r="B36" s="111"/>
      <c r="C36" s="18"/>
      <c r="D36" s="18"/>
      <c r="E36" s="18"/>
      <c r="F36" s="18"/>
      <c r="G36" s="18"/>
      <c r="H36" s="96"/>
      <c r="L36" s="5"/>
      <c r="N36" s="5"/>
      <c r="P36" s="5"/>
    </row>
    <row r="37" spans="1:16" x14ac:dyDescent="0.25">
      <c r="B37" s="95" t="s">
        <v>29</v>
      </c>
      <c r="C37" s="18"/>
      <c r="D37" s="85"/>
      <c r="E37" s="18"/>
      <c r="F37" s="18"/>
      <c r="G37" s="18"/>
      <c r="H37" s="96"/>
    </row>
    <row r="38" spans="1:16" ht="13.8" x14ac:dyDescent="0.3">
      <c r="B38" s="111">
        <v>2024</v>
      </c>
      <c r="C38" s="18"/>
      <c r="D38" s="81">
        <f>VLOOKUP(Info!B9,Data!B:X,16,FALSE)</f>
        <v>-25945872</v>
      </c>
      <c r="E38" s="18"/>
      <c r="F38" s="65"/>
      <c r="G38" s="18"/>
      <c r="H38" s="96"/>
      <c r="L38" s="81"/>
      <c r="N38" s="81"/>
      <c r="P38" s="15"/>
    </row>
    <row r="39" spans="1:16" ht="13.8" x14ac:dyDescent="0.3">
      <c r="B39" s="105">
        <v>2025</v>
      </c>
      <c r="C39" s="18"/>
      <c r="D39" s="112">
        <f>VLOOKUP(Info!B9,Data!B:X,17,FALSE)</f>
        <v>-18504895</v>
      </c>
      <c r="E39" s="18"/>
      <c r="F39" s="65"/>
      <c r="G39" s="18"/>
      <c r="H39" s="96"/>
      <c r="L39" s="112"/>
      <c r="N39" s="112"/>
      <c r="P39" s="112"/>
    </row>
    <row r="40" spans="1:16" ht="13.8" x14ac:dyDescent="0.3">
      <c r="B40" s="105">
        <v>2026</v>
      </c>
      <c r="C40" s="18"/>
      <c r="D40" s="112">
        <f>VLOOKUP(Info!B9,Data!B:X,18,FALSE)</f>
        <v>-23783410</v>
      </c>
      <c r="E40" s="18"/>
      <c r="F40" s="65"/>
      <c r="G40" s="18"/>
      <c r="H40" s="96"/>
      <c r="L40" s="112"/>
      <c r="N40" s="112"/>
      <c r="P40" s="112"/>
    </row>
    <row r="41" spans="1:16" ht="13.8" x14ac:dyDescent="0.3">
      <c r="B41" s="105">
        <v>2027</v>
      </c>
      <c r="C41" s="18"/>
      <c r="D41" s="112">
        <f>VLOOKUP(Info!B9,Data!B:X,19,FALSE)</f>
        <v>-14280895</v>
      </c>
      <c r="E41" s="18"/>
      <c r="F41" s="65"/>
      <c r="G41" s="91"/>
      <c r="H41" s="96"/>
      <c r="K41" s="2"/>
      <c r="L41" s="112"/>
      <c r="N41" s="112"/>
      <c r="P41" s="112"/>
    </row>
    <row r="42" spans="1:16" ht="13.8" x14ac:dyDescent="0.3">
      <c r="B42" s="105">
        <v>2028</v>
      </c>
      <c r="C42" s="18"/>
      <c r="D42" s="113">
        <f>VLOOKUP(Info!B9,Data!B:W,20,FALSE)+VLOOKUP(Info!B9,Data!B:W,22,FALSE)</f>
        <v>-1</v>
      </c>
      <c r="E42" s="18"/>
      <c r="F42" s="65"/>
      <c r="G42" s="18"/>
      <c r="H42" s="96"/>
      <c r="J42" s="129" t="s">
        <v>135</v>
      </c>
      <c r="L42" s="112"/>
      <c r="N42" s="112"/>
      <c r="P42" s="112"/>
    </row>
    <row r="43" spans="1:16" ht="14.55" customHeight="1" thickBot="1" x14ac:dyDescent="0.35">
      <c r="B43" s="114" t="s">
        <v>13</v>
      </c>
      <c r="C43" s="18"/>
      <c r="D43" s="259">
        <f>SUM(D38:D42)</f>
        <v>-82515073</v>
      </c>
      <c r="E43" s="18"/>
      <c r="F43" s="65"/>
      <c r="G43" s="18"/>
      <c r="H43" s="96"/>
      <c r="L43" s="15"/>
      <c r="N43" s="15"/>
      <c r="P43" s="15"/>
    </row>
    <row r="44" spans="1:16" ht="8.1" customHeight="1" thickTop="1" x14ac:dyDescent="0.25">
      <c r="B44" s="98"/>
      <c r="C44" s="18"/>
      <c r="D44" s="18"/>
      <c r="E44" s="18"/>
      <c r="F44" s="18"/>
      <c r="G44" s="18"/>
      <c r="H44" s="96"/>
    </row>
    <row r="45" spans="1:16" x14ac:dyDescent="0.25">
      <c r="B45" s="95" t="s">
        <v>225</v>
      </c>
      <c r="C45" s="18"/>
      <c r="D45" s="18"/>
      <c r="E45" s="18"/>
      <c r="F45" s="18"/>
      <c r="G45" s="18"/>
      <c r="H45" s="96"/>
    </row>
    <row r="46" spans="1:16" x14ac:dyDescent="0.25">
      <c r="B46" s="95" t="s">
        <v>226</v>
      </c>
      <c r="C46" s="18"/>
      <c r="D46" s="18"/>
      <c r="E46" s="18"/>
      <c r="F46" s="18"/>
      <c r="G46" s="18"/>
      <c r="H46" s="96"/>
    </row>
    <row r="47" spans="1:16" x14ac:dyDescent="0.25">
      <c r="B47" s="95"/>
      <c r="C47" s="18"/>
      <c r="D47" s="18"/>
      <c r="E47" s="18"/>
      <c r="F47" s="18"/>
      <c r="G47" s="18"/>
      <c r="H47" s="96"/>
    </row>
    <row r="48" spans="1:16" x14ac:dyDescent="0.25">
      <c r="B48" s="116" t="s">
        <v>227</v>
      </c>
      <c r="C48" s="18"/>
      <c r="D48" s="18"/>
      <c r="E48" s="18"/>
      <c r="F48" s="18"/>
      <c r="G48" s="18"/>
      <c r="H48" s="96"/>
    </row>
    <row r="49" spans="1:16" ht="12.75" customHeight="1" x14ac:dyDescent="0.25">
      <c r="B49" s="117"/>
      <c r="C49" s="109"/>
      <c r="D49" s="109"/>
      <c r="E49" s="109"/>
      <c r="F49" s="109"/>
      <c r="G49" s="109"/>
      <c r="H49" s="110"/>
    </row>
    <row r="50" spans="1:16" ht="15.75" customHeight="1" x14ac:dyDescent="0.25"/>
    <row r="51" spans="1:16" x14ac:dyDescent="0.25">
      <c r="A51" s="2" t="s">
        <v>31</v>
      </c>
      <c r="B51" s="92" t="s">
        <v>151</v>
      </c>
      <c r="C51" s="93"/>
      <c r="D51" s="93"/>
      <c r="E51" s="93"/>
      <c r="F51" s="93"/>
      <c r="G51" s="93"/>
      <c r="H51" s="94"/>
    </row>
    <row r="52" spans="1:16" x14ac:dyDescent="0.25">
      <c r="A52" s="2"/>
      <c r="B52" s="95" t="s">
        <v>228</v>
      </c>
      <c r="C52" s="18"/>
      <c r="D52" s="18"/>
      <c r="E52" s="18"/>
      <c r="F52" s="18"/>
      <c r="G52" s="18"/>
      <c r="H52" s="96"/>
    </row>
    <row r="53" spans="1:16" x14ac:dyDescent="0.25">
      <c r="A53" s="2"/>
      <c r="B53" s="118" t="s">
        <v>523</v>
      </c>
      <c r="C53" s="18"/>
      <c r="D53" s="18"/>
      <c r="E53" s="18"/>
      <c r="F53" s="18"/>
      <c r="G53" s="18"/>
      <c r="H53" s="96"/>
    </row>
    <row r="54" spans="1:16" x14ac:dyDescent="0.25">
      <c r="B54" s="98"/>
      <c r="C54" s="18"/>
      <c r="D54" s="18"/>
      <c r="E54" s="18"/>
      <c r="F54" s="18"/>
      <c r="G54" s="18"/>
      <c r="H54" s="96"/>
      <c r="L54" s="5"/>
      <c r="N54" s="5"/>
      <c r="P54" s="5"/>
    </row>
    <row r="55" spans="1:16" ht="14.4" thickBot="1" x14ac:dyDescent="0.35">
      <c r="B55" s="95" t="s">
        <v>32</v>
      </c>
      <c r="C55" s="18"/>
      <c r="D55" s="119">
        <f>D25</f>
        <v>0</v>
      </c>
      <c r="E55" s="18"/>
      <c r="F55" s="65"/>
      <c r="G55" s="91"/>
      <c r="H55" s="96"/>
      <c r="J55" s="129" t="s">
        <v>134</v>
      </c>
      <c r="K55" s="2"/>
      <c r="L55" s="16"/>
      <c r="N55" s="16"/>
      <c r="P55" s="15"/>
    </row>
    <row r="56" spans="1:16" ht="13.8" thickTop="1" x14ac:dyDescent="0.25">
      <c r="B56" s="95"/>
      <c r="C56" s="18"/>
      <c r="D56" s="81"/>
      <c r="E56" s="18"/>
      <c r="F56" s="18"/>
      <c r="G56" s="18"/>
      <c r="H56" s="96"/>
    </row>
    <row r="57" spans="1:16" x14ac:dyDescent="0.25">
      <c r="B57" s="116" t="s">
        <v>229</v>
      </c>
      <c r="C57" s="18"/>
      <c r="D57" s="81"/>
      <c r="E57" s="18"/>
      <c r="F57" s="18"/>
      <c r="G57" s="18"/>
      <c r="H57" s="96"/>
    </row>
    <row r="58" spans="1:16" ht="12.75" customHeight="1" x14ac:dyDescent="0.25">
      <c r="B58" s="108"/>
      <c r="C58" s="109"/>
      <c r="D58" s="109"/>
      <c r="E58" s="109"/>
      <c r="F58" s="109"/>
      <c r="G58" s="109"/>
      <c r="H58" s="110"/>
    </row>
    <row r="59" spans="1:16" ht="15.75" customHeight="1" x14ac:dyDescent="0.25"/>
    <row r="60" spans="1:16" x14ac:dyDescent="0.25">
      <c r="A60" s="2" t="s">
        <v>123</v>
      </c>
      <c r="B60" s="120" t="s">
        <v>126</v>
      </c>
      <c r="C60" s="93"/>
      <c r="D60" s="93"/>
      <c r="E60" s="93"/>
      <c r="F60" s="93"/>
      <c r="G60" s="93"/>
      <c r="H60" s="94"/>
    </row>
    <row r="61" spans="1:16" x14ac:dyDescent="0.25">
      <c r="B61" s="98"/>
      <c r="C61" s="18"/>
      <c r="D61" s="18"/>
      <c r="E61" s="18"/>
      <c r="F61" s="18"/>
      <c r="G61" s="18"/>
      <c r="H61" s="96"/>
    </row>
    <row r="62" spans="1:16" x14ac:dyDescent="0.25">
      <c r="B62" s="121"/>
      <c r="C62" s="101"/>
      <c r="D62" s="167" t="s">
        <v>230</v>
      </c>
      <c r="E62" s="101"/>
      <c r="F62" s="101"/>
      <c r="G62" s="101"/>
      <c r="H62" s="96"/>
      <c r="I62" s="5"/>
      <c r="J62" s="5"/>
      <c r="K62" s="5"/>
      <c r="L62" s="282"/>
      <c r="M62" s="282"/>
      <c r="N62" s="282"/>
      <c r="O62" s="282"/>
      <c r="P62" s="282"/>
    </row>
    <row r="63" spans="1:16" x14ac:dyDescent="0.25">
      <c r="B63" s="121"/>
      <c r="C63" s="101"/>
      <c r="D63" s="122" t="s">
        <v>125</v>
      </c>
      <c r="E63" s="101"/>
      <c r="F63" s="101"/>
      <c r="G63" s="101"/>
      <c r="H63" s="96"/>
      <c r="I63" s="5"/>
      <c r="J63" s="5"/>
      <c r="K63" s="5"/>
      <c r="L63" s="5"/>
      <c r="N63" s="5"/>
      <c r="P63" s="4"/>
    </row>
    <row r="64" spans="1:16" x14ac:dyDescent="0.25">
      <c r="B64" s="95" t="s">
        <v>524</v>
      </c>
      <c r="C64" s="18"/>
      <c r="D64" s="123">
        <f>Detail!F15</f>
        <v>320543876</v>
      </c>
      <c r="E64" s="18"/>
      <c r="F64" s="18"/>
      <c r="G64" s="53" t="s">
        <v>891</v>
      </c>
      <c r="H64" s="96"/>
      <c r="L64" s="123"/>
      <c r="N64" s="123"/>
      <c r="P64" s="15"/>
    </row>
    <row r="65" spans="2:18" hidden="1" x14ac:dyDescent="0.25">
      <c r="B65" s="98" t="s">
        <v>152</v>
      </c>
      <c r="C65" s="18"/>
      <c r="D65" s="112">
        <v>0</v>
      </c>
      <c r="E65" s="18"/>
      <c r="F65" s="18"/>
      <c r="G65" s="53"/>
      <c r="H65" s="96"/>
      <c r="L65" s="112"/>
      <c r="N65" s="112"/>
      <c r="P65" s="112"/>
    </row>
    <row r="66" spans="2:18" x14ac:dyDescent="0.25">
      <c r="B66" s="165" t="s">
        <v>124</v>
      </c>
      <c r="C66" s="18"/>
      <c r="D66" s="112">
        <f>Detail!F43</f>
        <v>0</v>
      </c>
      <c r="E66" s="18"/>
      <c r="F66" s="18"/>
      <c r="G66" s="53"/>
      <c r="H66" s="96"/>
      <c r="L66" s="112"/>
      <c r="N66" s="112"/>
      <c r="P66" s="112"/>
    </row>
    <row r="67" spans="2:18" x14ac:dyDescent="0.25">
      <c r="B67" s="191" t="s">
        <v>145</v>
      </c>
      <c r="C67" s="18"/>
      <c r="D67" s="112">
        <f>-Detail!E32</f>
        <v>-76703515</v>
      </c>
      <c r="E67" s="18"/>
      <c r="F67" s="18"/>
      <c r="G67" s="53"/>
      <c r="H67" s="96"/>
      <c r="L67" s="112"/>
      <c r="N67" s="112"/>
      <c r="P67" s="112"/>
    </row>
    <row r="68" spans="2:18" ht="14.55" customHeight="1" thickBot="1" x14ac:dyDescent="0.3">
      <c r="B68" s="95" t="s">
        <v>525</v>
      </c>
      <c r="C68" s="18"/>
      <c r="D68" s="115">
        <f>SUM(D64:D67)</f>
        <v>243840361</v>
      </c>
      <c r="E68" s="18"/>
      <c r="F68" s="18"/>
      <c r="G68" s="53" t="s">
        <v>892</v>
      </c>
      <c r="H68" s="96"/>
      <c r="L68" s="123"/>
      <c r="N68" s="123"/>
      <c r="P68" s="123"/>
      <c r="R68" s="128"/>
    </row>
    <row r="69" spans="2:18" ht="13.8" thickTop="1" x14ac:dyDescent="0.25">
      <c r="B69" s="98"/>
      <c r="C69" s="18"/>
      <c r="D69" s="123"/>
      <c r="E69" s="18"/>
      <c r="F69" s="18"/>
      <c r="G69" s="18"/>
      <c r="H69" s="96"/>
      <c r="R69" s="128"/>
    </row>
    <row r="70" spans="2:18" x14ac:dyDescent="0.25">
      <c r="B70" s="95" t="s">
        <v>153</v>
      </c>
      <c r="C70" s="18"/>
      <c r="D70" s="124">
        <v>0</v>
      </c>
      <c r="E70" s="18"/>
      <c r="F70" s="18"/>
      <c r="G70" s="18"/>
      <c r="H70" s="96"/>
      <c r="L70" s="123"/>
      <c r="N70" s="123"/>
      <c r="P70" s="123"/>
    </row>
    <row r="71" spans="2:18" x14ac:dyDescent="0.25">
      <c r="B71" s="98"/>
      <c r="C71" s="18"/>
      <c r="D71" s="18"/>
      <c r="E71" s="18"/>
      <c r="F71" s="18"/>
      <c r="G71" s="18"/>
      <c r="H71" s="96"/>
    </row>
    <row r="72" spans="2:18" ht="82.05" customHeight="1" x14ac:dyDescent="0.25">
      <c r="B72" s="280" t="s">
        <v>231</v>
      </c>
      <c r="C72" s="269"/>
      <c r="D72" s="269"/>
      <c r="E72" s="269"/>
      <c r="F72" s="269"/>
      <c r="G72" s="269"/>
      <c r="H72" s="281"/>
      <c r="L72" s="283"/>
      <c r="M72" s="283"/>
      <c r="N72" s="283"/>
      <c r="O72" s="283"/>
      <c r="P72" s="283"/>
    </row>
    <row r="73" spans="2:18" ht="92.1" customHeight="1" x14ac:dyDescent="0.25">
      <c r="B73" s="277" t="s">
        <v>232</v>
      </c>
      <c r="C73" s="278"/>
      <c r="D73" s="278"/>
      <c r="E73" s="278"/>
      <c r="F73" s="278"/>
      <c r="G73" s="278"/>
      <c r="H73" s="279"/>
      <c r="L73" s="284"/>
      <c r="M73" s="284"/>
      <c r="N73" s="284"/>
      <c r="O73" s="284"/>
      <c r="P73" s="284"/>
    </row>
    <row r="74" spans="2:18" ht="12.75" customHeight="1" x14ac:dyDescent="0.25">
      <c r="B74" s="108"/>
      <c r="C74" s="109"/>
      <c r="D74" s="109"/>
      <c r="E74" s="109"/>
      <c r="F74" s="109"/>
      <c r="G74" s="109"/>
      <c r="H74" s="110"/>
    </row>
    <row r="81" spans="7:7" x14ac:dyDescent="0.25">
      <c r="G81" s="15"/>
    </row>
  </sheetData>
  <sheetProtection algorithmName="SHA-512" hashValue="ZqNGF4ZGomy1dhUnzF7hL5X12EQVOuXSarl6iGB1uIbqKe6JXWpFXm7974wHCRu5OfEn/rPcYL69MV9sLaWsJg==" saltValue="XledPKqxbawv6YGXp6qm6A==" spinCount="100000" sheet="1" objects="1" scenarios="1"/>
  <mergeCells count="12">
    <mergeCell ref="L8:N8"/>
    <mergeCell ref="L9:P9"/>
    <mergeCell ref="R9:V9"/>
    <mergeCell ref="L28:Q28"/>
    <mergeCell ref="B28:H28"/>
    <mergeCell ref="X9:Z9"/>
    <mergeCell ref="B73:H73"/>
    <mergeCell ref="B72:H72"/>
    <mergeCell ref="L62:P62"/>
    <mergeCell ref="L72:P72"/>
    <mergeCell ref="L73:P73"/>
    <mergeCell ref="N16:P16"/>
  </mergeCells>
  <pageMargins left="0.45" right="0.45" top="0.5" bottom="0.5" header="0.3" footer="0.3"/>
  <pageSetup orientation="portrait" r:id="rId1"/>
  <rowBreaks count="1" manualBreakCount="1">
    <brk id="5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03"/>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RowHeight="13.2" x14ac:dyDescent="0.25"/>
  <cols>
    <col min="1" max="1" width="40.44140625" customWidth="1"/>
    <col min="2" max="2" width="11.77734375" bestFit="1" customWidth="1"/>
    <col min="3" max="3" width="11.77734375" customWidth="1"/>
    <col min="4" max="4" width="10.21875" customWidth="1"/>
    <col min="5" max="5" width="13.44140625" customWidth="1"/>
    <col min="6" max="8" width="11.77734375" customWidth="1"/>
    <col min="9" max="9" width="19.21875" customWidth="1"/>
    <col min="10" max="10" width="13.6640625" customWidth="1"/>
    <col min="11" max="11" width="12.88671875" customWidth="1"/>
    <col min="12" max="12" width="13.44140625" customWidth="1"/>
    <col min="13" max="13" width="19.21875" customWidth="1"/>
    <col min="14" max="14" width="12.44140625" customWidth="1"/>
    <col min="15" max="15" width="20.77734375" customWidth="1"/>
    <col min="16" max="16" width="12.44140625" customWidth="1"/>
    <col min="17" max="18" width="14.109375" customWidth="1"/>
    <col min="19" max="20" width="12.21875" customWidth="1"/>
    <col min="21" max="21" width="12.44140625" customWidth="1"/>
    <col min="22" max="22" width="17.44140625" customWidth="1"/>
    <col min="23" max="23" width="14.21875" customWidth="1"/>
    <col min="24" max="24" width="6.77734375" customWidth="1"/>
    <col min="25" max="25" width="8.21875" customWidth="1"/>
    <col min="26" max="26" width="13.44140625" customWidth="1"/>
    <col min="27" max="28" width="8.21875" customWidth="1"/>
    <col min="29" max="29" width="13.44140625" bestFit="1" customWidth="1"/>
    <col min="30" max="31" width="11.77734375" customWidth="1"/>
    <col min="32" max="32" width="11.77734375" bestFit="1" customWidth="1"/>
    <col min="33" max="33" width="20.77734375" customWidth="1"/>
    <col min="34" max="34" width="18.109375" bestFit="1" customWidth="1"/>
    <col min="35" max="35" width="20.44140625" bestFit="1" customWidth="1"/>
    <col min="36" max="36" width="13.44140625" bestFit="1" customWidth="1"/>
    <col min="37" max="37" width="20.77734375" customWidth="1"/>
    <col min="38" max="38" width="9.21875" customWidth="1"/>
    <col min="39" max="42" width="20.77734375" customWidth="1"/>
    <col min="43" max="44" width="21.44140625" customWidth="1"/>
    <col min="45" max="46" width="17.77734375" customWidth="1"/>
    <col min="47" max="47" width="16.5546875" customWidth="1"/>
    <col min="48" max="48" width="9.21875" customWidth="1"/>
  </cols>
  <sheetData>
    <row r="1" spans="1:47" x14ac:dyDescent="0.25">
      <c r="B1" s="5">
        <v>1</v>
      </c>
      <c r="C1" s="5">
        <v>2</v>
      </c>
      <c r="D1" s="5">
        <v>3</v>
      </c>
      <c r="E1" s="5">
        <v>4</v>
      </c>
      <c r="F1" s="5">
        <v>5</v>
      </c>
      <c r="G1" s="5">
        <v>6</v>
      </c>
      <c r="H1" s="5">
        <v>7</v>
      </c>
      <c r="I1" s="5">
        <v>8</v>
      </c>
      <c r="J1" s="5">
        <v>9</v>
      </c>
      <c r="K1" s="5">
        <v>10</v>
      </c>
      <c r="L1" s="5">
        <v>11</v>
      </c>
      <c r="M1" s="5">
        <v>12</v>
      </c>
      <c r="N1" s="5">
        <v>13</v>
      </c>
      <c r="O1" s="5">
        <v>14</v>
      </c>
      <c r="P1" s="5">
        <v>15</v>
      </c>
      <c r="Q1" s="5">
        <v>16</v>
      </c>
      <c r="R1" s="5">
        <v>17</v>
      </c>
      <c r="S1" s="5">
        <v>18</v>
      </c>
      <c r="T1" s="5">
        <v>19</v>
      </c>
      <c r="U1" s="5">
        <v>20</v>
      </c>
      <c r="V1" s="5">
        <v>21</v>
      </c>
      <c r="W1" s="5">
        <v>22</v>
      </c>
      <c r="X1" s="5">
        <v>23</v>
      </c>
      <c r="Y1" s="5">
        <v>24</v>
      </c>
      <c r="Z1" s="5">
        <v>25</v>
      </c>
      <c r="AA1" s="5">
        <v>26</v>
      </c>
      <c r="AB1" s="5">
        <v>27</v>
      </c>
      <c r="AC1" s="5">
        <v>28</v>
      </c>
      <c r="AD1" s="5">
        <v>29</v>
      </c>
      <c r="AE1" s="5">
        <v>30</v>
      </c>
      <c r="AF1" s="5">
        <v>31</v>
      </c>
      <c r="AG1" s="5">
        <v>32</v>
      </c>
      <c r="AH1" s="5">
        <v>33</v>
      </c>
      <c r="AI1" s="5">
        <v>34</v>
      </c>
      <c r="AJ1" s="5">
        <v>35</v>
      </c>
      <c r="AK1" s="5">
        <v>36</v>
      </c>
      <c r="AL1" s="5">
        <v>37</v>
      </c>
      <c r="AM1" s="5">
        <v>38</v>
      </c>
      <c r="AN1" s="5">
        <v>39</v>
      </c>
      <c r="AO1" s="5">
        <v>40</v>
      </c>
      <c r="AP1" s="5">
        <v>41</v>
      </c>
      <c r="AQ1" s="5">
        <v>42</v>
      </c>
      <c r="AR1" s="5">
        <v>43</v>
      </c>
      <c r="AS1" s="5">
        <v>44</v>
      </c>
      <c r="AT1" s="5">
        <v>45</v>
      </c>
      <c r="AU1" s="5">
        <v>46</v>
      </c>
    </row>
    <row r="2" spans="1:47" x14ac:dyDescent="0.25">
      <c r="F2" s="291" t="s">
        <v>512</v>
      </c>
      <c r="G2" s="292"/>
      <c r="H2" s="292"/>
      <c r="I2" s="293"/>
      <c r="J2" s="291" t="s">
        <v>513</v>
      </c>
      <c r="K2" s="292"/>
      <c r="L2" s="292"/>
      <c r="M2" s="293"/>
      <c r="N2" s="294" t="s">
        <v>220</v>
      </c>
      <c r="O2" s="295"/>
      <c r="P2" s="295"/>
      <c r="Q2" s="291" t="s">
        <v>121</v>
      </c>
      <c r="R2" s="292"/>
      <c r="S2" s="292"/>
      <c r="T2" s="292"/>
      <c r="U2" s="293"/>
      <c r="AD2" s="291" t="s">
        <v>499</v>
      </c>
      <c r="AE2" s="292"/>
      <c r="AF2" s="292"/>
      <c r="AG2" s="293"/>
      <c r="AH2" s="291" t="s">
        <v>500</v>
      </c>
      <c r="AI2" s="292"/>
      <c r="AJ2" s="292"/>
      <c r="AK2" s="293"/>
      <c r="AM2" s="147" t="s">
        <v>172</v>
      </c>
      <c r="AN2" s="147" t="s">
        <v>173</v>
      </c>
      <c r="AO2" s="147" t="s">
        <v>172</v>
      </c>
      <c r="AP2" s="147" t="s">
        <v>173</v>
      </c>
      <c r="AQ2" s="168" t="s">
        <v>172</v>
      </c>
      <c r="AR2" s="169" t="s">
        <v>173</v>
      </c>
      <c r="AS2" s="170" t="s">
        <v>240</v>
      </c>
      <c r="AT2" s="188" t="s">
        <v>172</v>
      </c>
      <c r="AU2" s="188" t="s">
        <v>173</v>
      </c>
    </row>
    <row r="3" spans="1:47" ht="120" customHeight="1" x14ac:dyDescent="0.3">
      <c r="A3" s="13" t="s">
        <v>34</v>
      </c>
      <c r="B3" s="13" t="s">
        <v>33</v>
      </c>
      <c r="C3" s="10" t="s">
        <v>35</v>
      </c>
      <c r="D3" s="10" t="s">
        <v>510</v>
      </c>
      <c r="E3" s="12" t="s">
        <v>511</v>
      </c>
      <c r="F3" s="137" t="s">
        <v>116</v>
      </c>
      <c r="G3" s="137" t="s">
        <v>117</v>
      </c>
      <c r="H3" s="137" t="s">
        <v>131</v>
      </c>
      <c r="I3" s="137" t="s">
        <v>115</v>
      </c>
      <c r="J3" s="137" t="s">
        <v>116</v>
      </c>
      <c r="K3" s="137" t="s">
        <v>117</v>
      </c>
      <c r="L3" s="137" t="s">
        <v>131</v>
      </c>
      <c r="M3" s="137" t="s">
        <v>115</v>
      </c>
      <c r="N3" s="11" t="s">
        <v>243</v>
      </c>
      <c r="O3" s="11" t="s">
        <v>119</v>
      </c>
      <c r="P3" s="11" t="s">
        <v>242</v>
      </c>
      <c r="Q3" s="8">
        <v>2024</v>
      </c>
      <c r="R3" s="8">
        <v>2025</v>
      </c>
      <c r="S3" s="8">
        <v>2026</v>
      </c>
      <c r="T3" s="8">
        <v>2027</v>
      </c>
      <c r="U3" s="8">
        <v>2028</v>
      </c>
      <c r="V3" s="10" t="s">
        <v>241</v>
      </c>
      <c r="W3" s="10" t="s">
        <v>122</v>
      </c>
      <c r="X3" s="10" t="s">
        <v>137</v>
      </c>
      <c r="Y3" s="10" t="s">
        <v>192</v>
      </c>
      <c r="Z3" s="225" t="s">
        <v>490</v>
      </c>
      <c r="AA3" s="10" t="s">
        <v>192</v>
      </c>
      <c r="AB3" s="10" t="s">
        <v>192</v>
      </c>
      <c r="AC3" s="172" t="s">
        <v>501</v>
      </c>
      <c r="AD3" s="146" t="s">
        <v>116</v>
      </c>
      <c r="AE3" s="146" t="s">
        <v>117</v>
      </c>
      <c r="AF3" s="146" t="s">
        <v>131</v>
      </c>
      <c r="AG3" s="146" t="s">
        <v>115</v>
      </c>
      <c r="AH3" s="146" t="s">
        <v>116</v>
      </c>
      <c r="AI3" s="146" t="s">
        <v>117</v>
      </c>
      <c r="AJ3" s="146" t="s">
        <v>131</v>
      </c>
      <c r="AK3" s="146" t="s">
        <v>115</v>
      </c>
      <c r="AL3" s="146" t="s">
        <v>192</v>
      </c>
      <c r="AM3" s="146" t="s">
        <v>115</v>
      </c>
      <c r="AN3" s="146" t="s">
        <v>115</v>
      </c>
      <c r="AO3" s="146" t="s">
        <v>116</v>
      </c>
      <c r="AP3" s="146" t="s">
        <v>116</v>
      </c>
      <c r="AQ3" t="s">
        <v>239</v>
      </c>
      <c r="AR3" t="s">
        <v>239</v>
      </c>
      <c r="AS3" t="s">
        <v>240</v>
      </c>
      <c r="AT3" s="189" t="s">
        <v>117</v>
      </c>
      <c r="AU3" s="146" t="s">
        <v>117</v>
      </c>
    </row>
    <row r="4" spans="1:47" x14ac:dyDescent="0.25">
      <c r="A4" t="s">
        <v>37</v>
      </c>
      <c r="B4">
        <v>20100</v>
      </c>
      <c r="C4" s="6">
        <f>VLOOKUP(B4,'ER Contributions'!A:D,4,FALSE)</f>
        <v>12731226</v>
      </c>
      <c r="D4" s="7">
        <f>VLOOKUP(B4,'ER Contributions'!A:D,3,FALSE)</f>
        <v>1.0268299999999999E-2</v>
      </c>
      <c r="E4" s="9">
        <f>VLOOKUP(B4,'75 - Summary Exhibit'!A:N,3,FALSE)</f>
        <v>243840361</v>
      </c>
      <c r="F4" s="9">
        <f>VLOOKUP(B4,'75 - Summary Exhibit'!A:N,4,FALSE)</f>
        <v>2367367</v>
      </c>
      <c r="G4" s="9">
        <f>VLOOKUP(B4,'75 - Summary Exhibit'!A:N,5,FALSE)</f>
        <v>2111552</v>
      </c>
      <c r="H4" s="9">
        <f>VLOOKUP(B4,'75 - Summary Exhibit'!A:N,6,FALSE)</f>
        <v>19522589</v>
      </c>
      <c r="I4" s="6">
        <f>VLOOKUP(B4,'75 - Summary Exhibit'!A:N,7,FALSE)</f>
        <v>7794649</v>
      </c>
      <c r="J4" s="6">
        <f>VLOOKUP(B4,'75 - Summary Exhibit'!A:N,8,FALSE)</f>
        <v>674731</v>
      </c>
      <c r="K4" s="6">
        <f>VLOOKUP(B4,'75 - Summary Exhibit'!A:N,9,FALSE)</f>
        <v>0</v>
      </c>
      <c r="L4" s="6">
        <f>VLOOKUP(B4,'75 - Summary Exhibit'!A:N,10,FALSE)</f>
        <v>110977490</v>
      </c>
      <c r="M4" s="6">
        <f>VLOOKUP(B4,'75 - Summary Exhibit'!A:N,11,FALSE)</f>
        <v>2659009</v>
      </c>
      <c r="N4" s="6">
        <f>VLOOKUP(B4,'75 - Summary Exhibit'!A:N,12,FALSE)</f>
        <v>-27193974</v>
      </c>
      <c r="O4" s="6">
        <f>VLOOKUP(B4,'75 - Summary Exhibit'!A:N,13,FALSE)</f>
        <v>-3342383</v>
      </c>
      <c r="P4" s="6">
        <f t="shared" ref="P4:P34" si="0">N4+O4</f>
        <v>-30536357</v>
      </c>
      <c r="Q4" s="6">
        <f>VLOOKUP(B4,'75- Deferred Amortization'!A:G,3,FALSE)</f>
        <v>-25945872</v>
      </c>
      <c r="R4" s="6">
        <f>VLOOKUP(B4,'75- Deferred Amortization'!A:G,4,FALSE)</f>
        <v>-18504895</v>
      </c>
      <c r="S4" s="6">
        <f>VLOOKUP(B4,'75- Deferred Amortization'!A:G,5,FALSE)</f>
        <v>-23783410</v>
      </c>
      <c r="T4" s="6">
        <f>VLOOKUP(B4,'75- Deferred Amortization'!A:G,6,FALSE)</f>
        <v>-14280895</v>
      </c>
      <c r="U4" s="6">
        <f>VLOOKUP(B4,'75- Deferred Amortization'!A:G,7,FALSE)</f>
        <v>0</v>
      </c>
      <c r="V4" s="6">
        <f t="shared" ref="V4:V35" si="1">ROUND(((F4-AD4)+(G4-AE4)+(H4-AF4)+(I4-AG4)+(AI4-K4)+P4-(E4-AC4)-(J4-AH4)-(L4-AJ4)-(M4-AK4)-C4),0)-Z4</f>
        <v>8</v>
      </c>
      <c r="W4" s="6">
        <f t="shared" ref="W4:W35" si="2">ROUND((F4+G4+H4+I4-J4-K4-L4-M4-Q4-R4-S4-T4-U4),0)</f>
        <v>-1</v>
      </c>
      <c r="X4">
        <v>1</v>
      </c>
      <c r="Z4" s="226">
        <f>VLOOKUP(B4,'Noncap Contr Alloc'!A:C,3,FALSE)</f>
        <v>1853490</v>
      </c>
      <c r="AC4" s="9">
        <v>320543876</v>
      </c>
      <c r="AD4" s="9">
        <v>1892445</v>
      </c>
      <c r="AE4" s="9">
        <v>0</v>
      </c>
      <c r="AF4" s="9">
        <v>26217729</v>
      </c>
      <c r="AG4" s="6">
        <v>13273284</v>
      </c>
      <c r="AH4" s="6">
        <v>5966814</v>
      </c>
      <c r="AI4" s="6">
        <v>163971</v>
      </c>
      <c r="AJ4" s="6">
        <v>77899128</v>
      </c>
      <c r="AK4" s="6">
        <v>8286184</v>
      </c>
      <c r="AM4" s="6">
        <f t="shared" ref="AM4:AM35" si="3">I4-AG4</f>
        <v>-5478635</v>
      </c>
      <c r="AN4" s="6">
        <f t="shared" ref="AN4:AN35" si="4">M4-AK4</f>
        <v>-5627175</v>
      </c>
      <c r="AO4" s="9">
        <f t="shared" ref="AO4:AO35" si="5">F4-AD4</f>
        <v>474922</v>
      </c>
      <c r="AP4" s="6">
        <f t="shared" ref="AP4:AP35" si="6">J4-AH4</f>
        <v>-5292083</v>
      </c>
      <c r="AQ4" s="9">
        <f t="shared" ref="AQ4:AQ35" si="7">H4-AF4</f>
        <v>-6695140</v>
      </c>
      <c r="AR4" s="6">
        <f t="shared" ref="AR4:AR35" si="8">L4-AJ4</f>
        <v>33078362</v>
      </c>
      <c r="AS4" s="9">
        <f t="shared" ref="AS4:AS35" si="9">E4-AC4</f>
        <v>-76703515</v>
      </c>
      <c r="AT4" s="9">
        <f t="shared" ref="AT4:AT35" si="10">G4-AE4</f>
        <v>2111552</v>
      </c>
      <c r="AU4" s="6">
        <f t="shared" ref="AU4:AU35" si="11">K4-AI4</f>
        <v>-163971</v>
      </c>
    </row>
    <row r="5" spans="1:47" x14ac:dyDescent="0.25">
      <c r="A5" t="s">
        <v>39</v>
      </c>
      <c r="B5">
        <v>20300</v>
      </c>
      <c r="C5" s="6">
        <f>VLOOKUP(B5,'ER Contributions'!A:D,4,FALSE)</f>
        <v>26540713</v>
      </c>
      <c r="D5" s="7">
        <f>VLOOKUP(B5,'ER Contributions'!A:D,3,FALSE)</f>
        <v>2.2540500000000002E-2</v>
      </c>
      <c r="E5" s="9">
        <f>VLOOKUP(B5,'75 - Summary Exhibit'!A:N,3,FALSE)</f>
        <v>535266896</v>
      </c>
      <c r="F5" s="9">
        <f>VLOOKUP(B5,'75 - Summary Exhibit'!A:N,4,FALSE)</f>
        <v>5196734</v>
      </c>
      <c r="G5" s="9">
        <f>VLOOKUP(B5,'75 - Summary Exhibit'!A:N,5,FALSE)</f>
        <v>4635180</v>
      </c>
      <c r="H5" s="9">
        <f>VLOOKUP(B5,'75 - Summary Exhibit'!A:N,6,FALSE)</f>
        <v>42855070</v>
      </c>
      <c r="I5" s="6">
        <f>VLOOKUP(B5,'75 - Summary Exhibit'!A:N,7,FALSE)</f>
        <v>12583651</v>
      </c>
      <c r="J5" s="6">
        <f>VLOOKUP(B5,'75 - Summary Exhibit'!A:N,8,FALSE)</f>
        <v>1481139</v>
      </c>
      <c r="K5" s="6">
        <f>VLOOKUP(B5,'75 - Summary Exhibit'!A:N,9,FALSE)</f>
        <v>0</v>
      </c>
      <c r="L5" s="6">
        <f>VLOOKUP(B5,'75 - Summary Exhibit'!A:N,10,FALSE)</f>
        <v>243612568</v>
      </c>
      <c r="M5" s="6">
        <f>VLOOKUP(B5,'75 - Summary Exhibit'!A:N,11,FALSE)</f>
        <v>50119760</v>
      </c>
      <c r="N5" s="6">
        <f>VLOOKUP(B5,'75 - Summary Exhibit'!A:N,12,FALSE)</f>
        <v>-59694930</v>
      </c>
      <c r="O5" s="6">
        <f>VLOOKUP(B5,'75 - Summary Exhibit'!A:N,13,FALSE)</f>
        <v>-25038028</v>
      </c>
      <c r="P5" s="6">
        <f t="shared" si="0"/>
        <v>-84732958</v>
      </c>
      <c r="Q5" s="6">
        <f>VLOOKUP(B5,'75- Deferred Amortization'!A:G,3,FALSE)</f>
        <v>-68546169</v>
      </c>
      <c r="R5" s="6">
        <f>VLOOKUP(B5,'75- Deferred Amortization'!A:G,4,FALSE)</f>
        <v>-56019101</v>
      </c>
      <c r="S5" s="6">
        <f>VLOOKUP(B5,'75- Deferred Amortization'!A:G,5,FALSE)</f>
        <v>-63439343</v>
      </c>
      <c r="T5" s="6">
        <f>VLOOKUP(B5,'75- Deferred Amortization'!A:G,6,FALSE)</f>
        <v>-41938219</v>
      </c>
      <c r="U5" s="6">
        <f>VLOOKUP(B5,'75- Deferred Amortization'!A:G,7,FALSE)</f>
        <v>0</v>
      </c>
      <c r="V5" s="6">
        <f t="shared" si="1"/>
        <v>20</v>
      </c>
      <c r="W5" s="6">
        <f t="shared" si="2"/>
        <v>0</v>
      </c>
      <c r="X5">
        <v>1</v>
      </c>
      <c r="Z5" s="226">
        <f>VLOOKUP(B5,'Noncap Contr Alloc'!A:C,3,FALSE)</f>
        <v>4068695</v>
      </c>
      <c r="AC5" s="9">
        <v>724638339</v>
      </c>
      <c r="AD5" s="9">
        <v>4278160</v>
      </c>
      <c r="AE5" s="9">
        <v>0</v>
      </c>
      <c r="AF5" s="9">
        <v>59269177</v>
      </c>
      <c r="AG5" s="6">
        <v>24250202</v>
      </c>
      <c r="AH5" s="6">
        <v>13488893</v>
      </c>
      <c r="AI5" s="6">
        <v>370682</v>
      </c>
      <c r="AJ5" s="6">
        <v>176102865</v>
      </c>
      <c r="AK5" s="6">
        <v>53748874</v>
      </c>
      <c r="AM5" s="6">
        <f t="shared" si="3"/>
        <v>-11666551</v>
      </c>
      <c r="AN5" s="6">
        <f t="shared" si="4"/>
        <v>-3629114</v>
      </c>
      <c r="AO5" s="9">
        <f t="shared" si="5"/>
        <v>918574</v>
      </c>
      <c r="AP5" s="6">
        <f t="shared" si="6"/>
        <v>-12007754</v>
      </c>
      <c r="AQ5" s="9">
        <f t="shared" si="7"/>
        <v>-16414107</v>
      </c>
      <c r="AR5" s="6">
        <f t="shared" si="8"/>
        <v>67509703</v>
      </c>
      <c r="AS5" s="9">
        <f t="shared" si="9"/>
        <v>-189371443</v>
      </c>
      <c r="AT5" s="9">
        <f t="shared" si="10"/>
        <v>4635180</v>
      </c>
      <c r="AU5" s="6">
        <f t="shared" si="11"/>
        <v>-370682</v>
      </c>
    </row>
    <row r="6" spans="1:47" x14ac:dyDescent="0.25">
      <c r="A6" t="s">
        <v>40</v>
      </c>
      <c r="B6">
        <v>20400</v>
      </c>
      <c r="C6" s="6">
        <f>VLOOKUP(B6,'ER Contributions'!A:D,4,FALSE)</f>
        <v>1472794</v>
      </c>
      <c r="D6" s="7">
        <f>VLOOKUP(B6,'ER Contributions'!A:D,3,FALSE)</f>
        <v>1.1777000000000001E-3</v>
      </c>
      <c r="E6" s="9">
        <f>VLOOKUP(B6,'75 - Summary Exhibit'!A:N,3,FALSE)</f>
        <v>27967544</v>
      </c>
      <c r="F6" s="9">
        <f>VLOOKUP(B6,'75 - Summary Exhibit'!A:N,4,FALSE)</f>
        <v>271528</v>
      </c>
      <c r="G6" s="9">
        <f>VLOOKUP(B6,'75 - Summary Exhibit'!A:N,5,FALSE)</f>
        <v>242187</v>
      </c>
      <c r="H6" s="9">
        <f>VLOOKUP(B6,'75 - Summary Exhibit'!A:N,6,FALSE)</f>
        <v>2239165</v>
      </c>
      <c r="I6" s="6">
        <f>VLOOKUP(B6,'75 - Summary Exhibit'!A:N,7,FALSE)</f>
        <v>1958164</v>
      </c>
      <c r="J6" s="6">
        <f>VLOOKUP(B6,'75 - Summary Exhibit'!A:N,8,FALSE)</f>
        <v>77389</v>
      </c>
      <c r="K6" s="6">
        <f>VLOOKUP(B6,'75 - Summary Exhibit'!A:N,9,FALSE)</f>
        <v>0</v>
      </c>
      <c r="L6" s="6">
        <f>VLOOKUP(B6,'75 - Summary Exhibit'!A:N,10,FALSE)</f>
        <v>12728688</v>
      </c>
      <c r="M6" s="6">
        <f>VLOOKUP(B6,'75 - Summary Exhibit'!A:N,11,FALSE)</f>
        <v>401816</v>
      </c>
      <c r="N6" s="6">
        <f>VLOOKUP(B6,'75 - Summary Exhibit'!A:N,12,FALSE)</f>
        <v>-3119042</v>
      </c>
      <c r="O6" s="6">
        <f>VLOOKUP(B6,'75 - Summary Exhibit'!A:N,13,FALSE)</f>
        <v>-606145</v>
      </c>
      <c r="P6" s="6">
        <f t="shared" si="0"/>
        <v>-3725187</v>
      </c>
      <c r="Q6" s="6">
        <f>VLOOKUP(B6,'75- Deferred Amortization'!A:G,3,FALSE)</f>
        <v>-2914503</v>
      </c>
      <c r="R6" s="6">
        <f>VLOOKUP(B6,'75- Deferred Amortization'!A:G,4,FALSE)</f>
        <v>-1922186</v>
      </c>
      <c r="S6" s="6">
        <f>VLOOKUP(B6,'75- Deferred Amortization'!A:G,5,FALSE)</f>
        <v>-2276304</v>
      </c>
      <c r="T6" s="6">
        <f>VLOOKUP(B6,'75- Deferred Amortization'!A:G,6,FALSE)</f>
        <v>-1383855</v>
      </c>
      <c r="U6" s="6">
        <f>VLOOKUP(B6,'75- Deferred Amortization'!A:G,7,FALSE)</f>
        <v>0</v>
      </c>
      <c r="V6" s="6">
        <f t="shared" si="1"/>
        <v>6</v>
      </c>
      <c r="W6" s="6">
        <f t="shared" si="2"/>
        <v>-1</v>
      </c>
      <c r="X6">
        <v>1</v>
      </c>
      <c r="Z6" s="226">
        <f>VLOOKUP(B6,'Noncap Contr Alloc'!A:C,3,FALSE)</f>
        <v>212582</v>
      </c>
      <c r="AC6" s="9">
        <v>36891599</v>
      </c>
      <c r="AD6" s="9">
        <v>217803</v>
      </c>
      <c r="AE6" s="9">
        <v>0</v>
      </c>
      <c r="AF6" s="9">
        <v>3017415</v>
      </c>
      <c r="AG6" s="6">
        <v>2671953</v>
      </c>
      <c r="AH6" s="6">
        <v>686724</v>
      </c>
      <c r="AI6" s="6">
        <v>18872</v>
      </c>
      <c r="AJ6" s="6">
        <v>8965460</v>
      </c>
      <c r="AK6" s="6">
        <v>1219478</v>
      </c>
      <c r="AM6" s="6">
        <f t="shared" si="3"/>
        <v>-713789</v>
      </c>
      <c r="AN6" s="6">
        <f t="shared" si="4"/>
        <v>-817662</v>
      </c>
      <c r="AO6" s="9">
        <f t="shared" si="5"/>
        <v>53725</v>
      </c>
      <c r="AP6" s="6">
        <f t="shared" si="6"/>
        <v>-609335</v>
      </c>
      <c r="AQ6" s="9">
        <f t="shared" si="7"/>
        <v>-778250</v>
      </c>
      <c r="AR6" s="6">
        <f t="shared" si="8"/>
        <v>3763228</v>
      </c>
      <c r="AS6" s="9">
        <f t="shared" si="9"/>
        <v>-8924055</v>
      </c>
      <c r="AT6" s="9">
        <f t="shared" si="10"/>
        <v>242187</v>
      </c>
      <c r="AU6" s="6">
        <f t="shared" si="11"/>
        <v>-18872</v>
      </c>
    </row>
    <row r="7" spans="1:47" x14ac:dyDescent="0.25">
      <c r="A7" t="s">
        <v>41</v>
      </c>
      <c r="B7">
        <v>20600</v>
      </c>
      <c r="C7" s="6">
        <f>VLOOKUP(B7,'ER Contributions'!A:D,4,FALSE)</f>
        <v>3382492</v>
      </c>
      <c r="D7" s="7">
        <f>VLOOKUP(B7,'ER Contributions'!A:D,3,FALSE)</f>
        <v>2.5284999999999999E-3</v>
      </c>
      <c r="E7" s="9">
        <f>VLOOKUP(B7,'75 - Summary Exhibit'!A:N,3,FALSE)</f>
        <v>60044660</v>
      </c>
      <c r="F7" s="9">
        <f>VLOOKUP(B7,'75 - Summary Exhibit'!A:N,4,FALSE)</f>
        <v>582954</v>
      </c>
      <c r="G7" s="9">
        <f>VLOOKUP(B7,'75 - Summary Exhibit'!A:N,5,FALSE)</f>
        <v>519961</v>
      </c>
      <c r="H7" s="9">
        <f>VLOOKUP(B7,'75 - Summary Exhibit'!A:N,6,FALSE)</f>
        <v>4807355</v>
      </c>
      <c r="I7" s="6">
        <f>VLOOKUP(B7,'75 - Summary Exhibit'!A:N,7,FALSE)</f>
        <v>2990703</v>
      </c>
      <c r="J7" s="6">
        <f>VLOOKUP(B7,'75 - Summary Exhibit'!A:N,8,FALSE)</f>
        <v>166150</v>
      </c>
      <c r="K7" s="6">
        <f>VLOOKUP(B7,'75 - Summary Exhibit'!A:N,9,FALSE)</f>
        <v>0</v>
      </c>
      <c r="L7" s="6">
        <f>VLOOKUP(B7,'75 - Summary Exhibit'!A:N,10,FALSE)</f>
        <v>27327739</v>
      </c>
      <c r="M7" s="6">
        <f>VLOOKUP(B7,'75 - Summary Exhibit'!A:N,11,FALSE)</f>
        <v>8538167</v>
      </c>
      <c r="N7" s="6">
        <f>VLOOKUP(B7,'75 - Summary Exhibit'!A:N,12,FALSE)</f>
        <v>-6696402</v>
      </c>
      <c r="O7" s="6">
        <f>VLOOKUP(B7,'75 - Summary Exhibit'!A:N,13,FALSE)</f>
        <v>-1725865</v>
      </c>
      <c r="P7" s="6">
        <f t="shared" si="0"/>
        <v>-8422267</v>
      </c>
      <c r="Q7" s="6">
        <f>VLOOKUP(B7,'75- Deferred Amortization'!A:G,3,FALSE)</f>
        <v>-7601951</v>
      </c>
      <c r="R7" s="6">
        <f>VLOOKUP(B7,'75- Deferred Amortization'!A:G,4,FALSE)</f>
        <v>-6933519</v>
      </c>
      <c r="S7" s="6">
        <f>VLOOKUP(B7,'75- Deferred Amortization'!A:G,5,FALSE)</f>
        <v>-8187044</v>
      </c>
      <c r="T7" s="6">
        <f>VLOOKUP(B7,'75- Deferred Amortization'!A:G,6,FALSE)</f>
        <v>-4408568</v>
      </c>
      <c r="U7" s="6">
        <f>VLOOKUP(B7,'75- Deferred Amortization'!A:G,7,FALSE)</f>
        <v>0</v>
      </c>
      <c r="V7" s="6">
        <f t="shared" si="1"/>
        <v>6</v>
      </c>
      <c r="W7" s="6">
        <f t="shared" si="2"/>
        <v>-1</v>
      </c>
      <c r="X7">
        <v>1</v>
      </c>
      <c r="Z7" s="226">
        <f>VLOOKUP(B7,'Noncap Contr Alloc'!A:C,3,FALSE)</f>
        <v>456409</v>
      </c>
      <c r="AC7" s="9">
        <v>79633137</v>
      </c>
      <c r="AD7" s="9">
        <v>470143</v>
      </c>
      <c r="AE7" s="9">
        <v>0</v>
      </c>
      <c r="AF7" s="9">
        <v>6513305</v>
      </c>
      <c r="AG7" s="6">
        <v>5457384</v>
      </c>
      <c r="AH7" s="6">
        <v>1482343</v>
      </c>
      <c r="AI7" s="6">
        <v>40736</v>
      </c>
      <c r="AJ7" s="6">
        <v>19352583</v>
      </c>
      <c r="AK7" s="6">
        <v>11368950</v>
      </c>
      <c r="AM7" s="6">
        <f t="shared" si="3"/>
        <v>-2466681</v>
      </c>
      <c r="AN7" s="6">
        <f t="shared" si="4"/>
        <v>-2830783</v>
      </c>
      <c r="AO7" s="9">
        <f t="shared" si="5"/>
        <v>112811</v>
      </c>
      <c r="AP7" s="6">
        <f t="shared" si="6"/>
        <v>-1316193</v>
      </c>
      <c r="AQ7" s="9">
        <f t="shared" si="7"/>
        <v>-1705950</v>
      </c>
      <c r="AR7" s="6">
        <f t="shared" si="8"/>
        <v>7975156</v>
      </c>
      <c r="AS7" s="9">
        <f t="shared" si="9"/>
        <v>-19588477</v>
      </c>
      <c r="AT7" s="9">
        <f t="shared" si="10"/>
        <v>519961</v>
      </c>
      <c r="AU7" s="6">
        <f t="shared" si="11"/>
        <v>-40736</v>
      </c>
    </row>
    <row r="8" spans="1:47" x14ac:dyDescent="0.25">
      <c r="A8" t="s">
        <v>43</v>
      </c>
      <c r="B8">
        <v>20800</v>
      </c>
      <c r="C8" s="6">
        <f>VLOOKUP(B8,'ER Contributions'!A:D,4,FALSE)</f>
        <v>5503861</v>
      </c>
      <c r="D8" s="7">
        <f>VLOOKUP(B8,'ER Contributions'!A:D,3,FALSE)</f>
        <v>4.2357999999999996E-3</v>
      </c>
      <c r="E8" s="9">
        <f>VLOOKUP(B8,'75 - Summary Exhibit'!A:N,3,FALSE)</f>
        <v>100588007</v>
      </c>
      <c r="F8" s="9">
        <f>VLOOKUP(B8,'75 - Summary Exhibit'!A:N,4,FALSE)</f>
        <v>976577</v>
      </c>
      <c r="G8" s="9">
        <f>VLOOKUP(B8,'75 - Summary Exhibit'!A:N,5,FALSE)</f>
        <v>871049</v>
      </c>
      <c r="H8" s="9">
        <f>VLOOKUP(B8,'75 - Summary Exhibit'!A:N,6,FALSE)</f>
        <v>8053377</v>
      </c>
      <c r="I8" s="6">
        <f>VLOOKUP(B8,'75 - Summary Exhibit'!A:N,7,FALSE)</f>
        <v>891797</v>
      </c>
      <c r="J8" s="6">
        <f>VLOOKUP(B8,'75 - Summary Exhibit'!A:N,8,FALSE)</f>
        <v>278337</v>
      </c>
      <c r="K8" s="6">
        <f>VLOOKUP(B8,'75 - Summary Exhibit'!A:N,9,FALSE)</f>
        <v>0</v>
      </c>
      <c r="L8" s="6">
        <f>VLOOKUP(B8,'75 - Summary Exhibit'!A:N,10,FALSE)</f>
        <v>45779971</v>
      </c>
      <c r="M8" s="6">
        <f>VLOOKUP(B8,'75 - Summary Exhibit'!A:N,11,FALSE)</f>
        <v>4618101</v>
      </c>
      <c r="N8" s="6">
        <f>VLOOKUP(B8,'75 - Summary Exhibit'!A:N,12,FALSE)</f>
        <v>-11217944</v>
      </c>
      <c r="O8" s="6">
        <f>VLOOKUP(B8,'75 - Summary Exhibit'!A:N,13,FALSE)</f>
        <v>-4371217</v>
      </c>
      <c r="P8" s="6">
        <f t="shared" si="0"/>
        <v>-15589161</v>
      </c>
      <c r="Q8" s="6">
        <f>VLOOKUP(B8,'75- Deferred Amortization'!A:G,3,FALSE)</f>
        <v>-13222780</v>
      </c>
      <c r="R8" s="6">
        <f>VLOOKUP(B8,'75- Deferred Amortization'!A:G,4,FALSE)</f>
        <v>-9740425</v>
      </c>
      <c r="S8" s="6">
        <f>VLOOKUP(B8,'75- Deferred Amortization'!A:G,5,FALSE)</f>
        <v>-10764123</v>
      </c>
      <c r="T8" s="6">
        <f>VLOOKUP(B8,'75- Deferred Amortization'!A:G,6,FALSE)</f>
        <v>-6156282</v>
      </c>
      <c r="U8" s="6">
        <f>VLOOKUP(B8,'75- Deferred Amortization'!A:G,7,FALSE)</f>
        <v>0</v>
      </c>
      <c r="V8" s="6">
        <f t="shared" si="1"/>
        <v>12</v>
      </c>
      <c r="W8" s="6">
        <f t="shared" si="2"/>
        <v>1</v>
      </c>
      <c r="X8">
        <v>1</v>
      </c>
      <c r="Z8" s="226">
        <f>VLOOKUP(B8,'Noncap Contr Alloc'!A:C,3,FALSE)</f>
        <v>764587</v>
      </c>
      <c r="AC8" s="9">
        <v>133338828</v>
      </c>
      <c r="AD8" s="9">
        <v>787213</v>
      </c>
      <c r="AE8" s="9">
        <v>0</v>
      </c>
      <c r="AF8" s="9">
        <v>10905968</v>
      </c>
      <c r="AG8" s="6">
        <v>1783594</v>
      </c>
      <c r="AH8" s="6">
        <v>2482056</v>
      </c>
      <c r="AI8" s="6">
        <v>68208</v>
      </c>
      <c r="AJ8" s="6">
        <v>32404233</v>
      </c>
      <c r="AK8" s="6">
        <v>7512687</v>
      </c>
      <c r="AM8" s="6">
        <f t="shared" si="3"/>
        <v>-891797</v>
      </c>
      <c r="AN8" s="6">
        <f t="shared" si="4"/>
        <v>-2894586</v>
      </c>
      <c r="AO8" s="9">
        <f t="shared" si="5"/>
        <v>189364</v>
      </c>
      <c r="AP8" s="6">
        <f t="shared" si="6"/>
        <v>-2203719</v>
      </c>
      <c r="AQ8" s="9">
        <f t="shared" si="7"/>
        <v>-2852591</v>
      </c>
      <c r="AR8" s="6">
        <f t="shared" si="8"/>
        <v>13375738</v>
      </c>
      <c r="AS8" s="9">
        <f t="shared" si="9"/>
        <v>-32750821</v>
      </c>
      <c r="AT8" s="9">
        <f t="shared" si="10"/>
        <v>871049</v>
      </c>
      <c r="AU8" s="6">
        <f t="shared" si="11"/>
        <v>-68208</v>
      </c>
    </row>
    <row r="9" spans="1:47" x14ac:dyDescent="0.25">
      <c r="A9" t="s">
        <v>36</v>
      </c>
      <c r="B9">
        <v>10950</v>
      </c>
      <c r="C9" s="6">
        <f>VLOOKUP(B9,'ER Contributions'!A:D,4,FALSE)</f>
        <v>1020910</v>
      </c>
      <c r="D9" s="7">
        <f>VLOOKUP(B9,'ER Contributions'!A:D,3,FALSE)</f>
        <v>8.5510000000000002E-4</v>
      </c>
      <c r="E9" s="9">
        <f>VLOOKUP(B9,'75 - Summary Exhibit'!A:N,3,FALSE)</f>
        <v>20306225</v>
      </c>
      <c r="F9" s="9">
        <f>VLOOKUP(B9,'75 - Summary Exhibit'!A:N,4,FALSE)</f>
        <v>197147</v>
      </c>
      <c r="G9" s="9">
        <f>VLOOKUP(B9,'75 - Summary Exhibit'!A:N,5,FALSE)</f>
        <v>175843</v>
      </c>
      <c r="H9" s="9">
        <f>VLOOKUP(B9,'75 - Summary Exhibit'!A:N,6,FALSE)</f>
        <v>1625777</v>
      </c>
      <c r="I9" s="6">
        <f>VLOOKUP(B9,'75 - Summary Exhibit'!A:N,7,FALSE)</f>
        <v>2849848</v>
      </c>
      <c r="J9" s="6">
        <f>VLOOKUP(B9,'75 - Summary Exhibit'!A:N,8,FALSE)</f>
        <v>56189</v>
      </c>
      <c r="K9" s="6">
        <f>VLOOKUP(B9,'75 - Summary Exhibit'!A:N,9,FALSE)</f>
        <v>0</v>
      </c>
      <c r="L9" s="6">
        <f>VLOOKUP(B9,'75 - Summary Exhibit'!A:N,10,FALSE)</f>
        <v>9241841</v>
      </c>
      <c r="M9" s="6">
        <f>VLOOKUP(B9,'75 - Summary Exhibit'!A:N,11,FALSE)</f>
        <v>0</v>
      </c>
      <c r="N9" s="6">
        <f>VLOOKUP(B9,'75 - Summary Exhibit'!A:N,12,FALSE)</f>
        <v>-2264626</v>
      </c>
      <c r="O9" s="6">
        <f>VLOOKUP(B9,'75 - Summary Exhibit'!A:N,13,FALSE)</f>
        <v>750717</v>
      </c>
      <c r="P9" s="6">
        <f t="shared" si="0"/>
        <v>-1513909</v>
      </c>
      <c r="Q9" s="6">
        <f>VLOOKUP(B9,'75- Deferred Amortization'!A:G,3,FALSE)</f>
        <v>-1618347</v>
      </c>
      <c r="R9" s="6">
        <f>VLOOKUP(B9,'75- Deferred Amortization'!A:G,4,FALSE)</f>
        <v>-735373</v>
      </c>
      <c r="S9" s="6">
        <f>VLOOKUP(B9,'75- Deferred Amortization'!A:G,5,FALSE)</f>
        <v>-1419151</v>
      </c>
      <c r="T9" s="6">
        <f>VLOOKUP(B9,'75- Deferred Amortization'!A:G,6,FALSE)</f>
        <v>-676544</v>
      </c>
      <c r="U9" s="6">
        <f>VLOOKUP(B9,'75- Deferred Amortization'!A:G,7,FALSE)</f>
        <v>0</v>
      </c>
      <c r="V9" s="6">
        <f t="shared" si="1"/>
        <v>1</v>
      </c>
      <c r="W9" s="6">
        <f t="shared" si="2"/>
        <v>0</v>
      </c>
      <c r="X9">
        <v>1</v>
      </c>
      <c r="Z9" s="226">
        <f>VLOOKUP(B9,'Noncap Contr Alloc'!A:C,3,FALSE)</f>
        <v>154351</v>
      </c>
      <c r="AC9" s="9">
        <v>25218582</v>
      </c>
      <c r="AD9" s="9">
        <v>148887</v>
      </c>
      <c r="AE9" s="9">
        <v>0</v>
      </c>
      <c r="AF9" s="9">
        <v>2062663</v>
      </c>
      <c r="AG9" s="6">
        <v>2365592</v>
      </c>
      <c r="AH9" s="6">
        <v>469435</v>
      </c>
      <c r="AI9" s="6">
        <v>12900</v>
      </c>
      <c r="AJ9" s="6">
        <v>6128664</v>
      </c>
      <c r="AK9" s="6">
        <v>192372</v>
      </c>
      <c r="AM9" s="6">
        <f t="shared" si="3"/>
        <v>484256</v>
      </c>
      <c r="AN9" s="6">
        <f t="shared" si="4"/>
        <v>-192372</v>
      </c>
      <c r="AO9" s="9">
        <f t="shared" si="5"/>
        <v>48260</v>
      </c>
      <c r="AP9" s="6">
        <f t="shared" si="6"/>
        <v>-413246</v>
      </c>
      <c r="AQ9" s="9">
        <f t="shared" si="7"/>
        <v>-436886</v>
      </c>
      <c r="AR9" s="6">
        <f t="shared" si="8"/>
        <v>3113177</v>
      </c>
      <c r="AS9" s="9">
        <f t="shared" si="9"/>
        <v>-4912357</v>
      </c>
      <c r="AT9" s="9">
        <f t="shared" si="10"/>
        <v>175843</v>
      </c>
      <c r="AU9" s="6">
        <f t="shared" si="11"/>
        <v>-12900</v>
      </c>
    </row>
    <row r="10" spans="1:47" x14ac:dyDescent="0.25">
      <c r="A10" t="s">
        <v>38</v>
      </c>
      <c r="B10">
        <v>20200</v>
      </c>
      <c r="C10" s="6">
        <f>VLOOKUP(B10,'ER Contributions'!A:D,4,FALSE)</f>
        <v>1902736</v>
      </c>
      <c r="D10" s="7">
        <f>VLOOKUP(B10,'ER Contributions'!A:D,3,FALSE)</f>
        <v>1.4829999999999999E-3</v>
      </c>
      <c r="E10" s="9">
        <f>VLOOKUP(B10,'75 - Summary Exhibit'!A:N,3,FALSE)</f>
        <v>35215707</v>
      </c>
      <c r="F10" s="9">
        <f>VLOOKUP(B10,'75 - Summary Exhibit'!A:N,4,FALSE)</f>
        <v>341898</v>
      </c>
      <c r="G10" s="9">
        <f>VLOOKUP(B10,'75 - Summary Exhibit'!A:N,5,FALSE)</f>
        <v>304953</v>
      </c>
      <c r="H10" s="9">
        <f>VLOOKUP(B10,'75 - Summary Exhibit'!A:N,6,FALSE)</f>
        <v>2819475</v>
      </c>
      <c r="I10" s="6">
        <f>VLOOKUP(B10,'75 - Summary Exhibit'!A:N,7,FALSE)</f>
        <v>2192075</v>
      </c>
      <c r="J10" s="6">
        <f>VLOOKUP(B10,'75 - Summary Exhibit'!A:N,8,FALSE)</f>
        <v>97445</v>
      </c>
      <c r="K10" s="6">
        <f>VLOOKUP(B10,'75 - Summary Exhibit'!A:N,9,FALSE)</f>
        <v>0</v>
      </c>
      <c r="L10" s="6">
        <f>VLOOKUP(B10,'75 - Summary Exhibit'!A:N,10,FALSE)</f>
        <v>16027498</v>
      </c>
      <c r="M10" s="6">
        <f>VLOOKUP(B10,'75 - Summary Exhibit'!A:N,11,FALSE)</f>
        <v>1646877</v>
      </c>
      <c r="N10" s="6">
        <f>VLOOKUP(B10,'75 - Summary Exhibit'!A:N,12,FALSE)</f>
        <v>-3927383</v>
      </c>
      <c r="O10" s="6">
        <f>VLOOKUP(B10,'75 - Summary Exhibit'!A:N,13,FALSE)</f>
        <v>812009</v>
      </c>
      <c r="P10" s="6">
        <f t="shared" si="0"/>
        <v>-3115374</v>
      </c>
      <c r="Q10" s="6">
        <f>VLOOKUP(B10,'75- Deferred Amortization'!A:G,3,FALSE)</f>
        <v>-3385549</v>
      </c>
      <c r="R10" s="6">
        <f>VLOOKUP(B10,'75- Deferred Amortization'!A:G,4,FALSE)</f>
        <v>-2626826</v>
      </c>
      <c r="S10" s="6">
        <f>VLOOKUP(B10,'75- Deferred Amortization'!A:G,5,FALSE)</f>
        <v>-3764381</v>
      </c>
      <c r="T10" s="6">
        <f>VLOOKUP(B10,'75- Deferred Amortization'!A:G,6,FALSE)</f>
        <v>-2336663</v>
      </c>
      <c r="U10" s="6">
        <f>VLOOKUP(B10,'75- Deferred Amortization'!A:G,7,FALSE)</f>
        <v>0</v>
      </c>
      <c r="V10" s="6">
        <f t="shared" si="1"/>
        <v>-3</v>
      </c>
      <c r="W10" s="6">
        <f t="shared" si="2"/>
        <v>0</v>
      </c>
      <c r="X10">
        <v>1</v>
      </c>
      <c r="Z10" s="226">
        <f>VLOOKUP(B10,'Noncap Contr Alloc'!A:C,3,FALSE)</f>
        <v>267690</v>
      </c>
      <c r="AC10" s="9">
        <v>47018521</v>
      </c>
      <c r="AD10" s="9">
        <v>277591</v>
      </c>
      <c r="AE10" s="9">
        <v>0</v>
      </c>
      <c r="AF10" s="9">
        <v>3845710</v>
      </c>
      <c r="AG10" s="6">
        <v>3674443</v>
      </c>
      <c r="AH10" s="6">
        <v>875234</v>
      </c>
      <c r="AI10" s="6">
        <v>24052</v>
      </c>
      <c r="AJ10" s="6">
        <v>11426523</v>
      </c>
      <c r="AK10" s="6">
        <v>1068337</v>
      </c>
      <c r="AM10" s="6">
        <f t="shared" si="3"/>
        <v>-1482368</v>
      </c>
      <c r="AN10" s="6">
        <f t="shared" si="4"/>
        <v>578540</v>
      </c>
      <c r="AO10" s="9">
        <f t="shared" si="5"/>
        <v>64307</v>
      </c>
      <c r="AP10" s="6">
        <f t="shared" si="6"/>
        <v>-777789</v>
      </c>
      <c r="AQ10" s="9">
        <f t="shared" si="7"/>
        <v>-1026235</v>
      </c>
      <c r="AR10" s="6">
        <f t="shared" si="8"/>
        <v>4600975</v>
      </c>
      <c r="AS10" s="9">
        <f t="shared" si="9"/>
        <v>-11802814</v>
      </c>
      <c r="AT10" s="9">
        <f t="shared" si="10"/>
        <v>304953</v>
      </c>
      <c r="AU10" s="6">
        <f t="shared" si="11"/>
        <v>-24052</v>
      </c>
    </row>
    <row r="11" spans="1:47" x14ac:dyDescent="0.25">
      <c r="A11" t="s">
        <v>46</v>
      </c>
      <c r="B11">
        <v>21300</v>
      </c>
      <c r="C11" s="6">
        <f>VLOOKUP(B11,'ER Contributions'!A:D,4,FALSE)</f>
        <v>44118801</v>
      </c>
      <c r="D11" s="7">
        <f>VLOOKUP(B11,'ER Contributions'!A:D,3,FALSE)</f>
        <v>3.72503E-2</v>
      </c>
      <c r="E11" s="9">
        <f>VLOOKUP(B11,'75 - Summary Exhibit'!A:N,3,FALSE)</f>
        <v>884577552</v>
      </c>
      <c r="F11" s="9">
        <f>VLOOKUP(B11,'75 - Summary Exhibit'!A:N,4,FALSE)</f>
        <v>8588078</v>
      </c>
      <c r="G11" s="9">
        <f>VLOOKUP(B11,'75 - Summary Exhibit'!A:N,5,FALSE)</f>
        <v>7660059</v>
      </c>
      <c r="H11" s="9">
        <f>VLOOKUP(B11,'75 - Summary Exhibit'!A:N,6,FALSE)</f>
        <v>70821926</v>
      </c>
      <c r="I11" s="6">
        <f>VLOOKUP(B11,'75 - Summary Exhibit'!A:N,7,FALSE)</f>
        <v>31724049</v>
      </c>
      <c r="J11" s="6">
        <f>VLOOKUP(B11,'75 - Summary Exhibit'!A:N,8,FALSE)</f>
        <v>2447717</v>
      </c>
      <c r="K11" s="6">
        <f>VLOOKUP(B11,'75 - Summary Exhibit'!A:N,9,FALSE)</f>
        <v>0</v>
      </c>
      <c r="L11" s="6">
        <f>VLOOKUP(B11,'75 - Summary Exhibit'!A:N,10,FALSE)</f>
        <v>402592073</v>
      </c>
      <c r="M11" s="6">
        <f>VLOOKUP(B11,'75 - Summary Exhibit'!A:N,11,FALSE)</f>
        <v>50648404</v>
      </c>
      <c r="N11" s="6">
        <f>VLOOKUP(B11,'75 - Summary Exhibit'!A:N,12,FALSE)</f>
        <v>-98651339</v>
      </c>
      <c r="O11" s="6">
        <f>VLOOKUP(B11,'75 - Summary Exhibit'!A:N,13,FALSE)</f>
        <v>-17628111</v>
      </c>
      <c r="P11" s="6">
        <f t="shared" si="0"/>
        <v>-116279450</v>
      </c>
      <c r="Q11" s="6">
        <f>VLOOKUP(B11,'75- Deferred Amortization'!A:G,3,FALSE)</f>
        <v>-98148519</v>
      </c>
      <c r="R11" s="6">
        <f>VLOOKUP(B11,'75- Deferred Amortization'!A:G,4,FALSE)</f>
        <v>-81384670</v>
      </c>
      <c r="S11" s="6">
        <f>VLOOKUP(B11,'75- Deferred Amortization'!A:G,5,FALSE)</f>
        <v>-95285967</v>
      </c>
      <c r="T11" s="6">
        <f>VLOOKUP(B11,'75- Deferred Amortization'!A:G,6,FALSE)</f>
        <v>-62074926</v>
      </c>
      <c r="U11" s="6">
        <f>VLOOKUP(B11,'75- Deferred Amortization'!A:G,7,FALSE)</f>
        <v>0</v>
      </c>
      <c r="V11" s="6">
        <f t="shared" si="1"/>
        <v>16</v>
      </c>
      <c r="W11" s="6">
        <f t="shared" si="2"/>
        <v>0</v>
      </c>
      <c r="X11">
        <v>1</v>
      </c>
      <c r="Z11" s="226">
        <f>VLOOKUP(B11,'Noncap Contr Alloc'!A:C,3,FALSE)</f>
        <v>6723903</v>
      </c>
      <c r="AC11" s="9">
        <v>1183066098</v>
      </c>
      <c r="AD11" s="9">
        <v>6984651</v>
      </c>
      <c r="AE11" s="9">
        <v>0</v>
      </c>
      <c r="AF11" s="9">
        <v>96764621</v>
      </c>
      <c r="AG11" s="6">
        <v>57818639</v>
      </c>
      <c r="AH11" s="6">
        <v>22022367</v>
      </c>
      <c r="AI11" s="6">
        <v>605186</v>
      </c>
      <c r="AJ11" s="6">
        <v>287510774</v>
      </c>
      <c r="AK11" s="6">
        <v>56957290</v>
      </c>
      <c r="AM11" s="6">
        <f t="shared" si="3"/>
        <v>-26094590</v>
      </c>
      <c r="AN11" s="6">
        <f t="shared" si="4"/>
        <v>-6308886</v>
      </c>
      <c r="AO11" s="9">
        <f t="shared" si="5"/>
        <v>1603427</v>
      </c>
      <c r="AP11" s="6">
        <f t="shared" si="6"/>
        <v>-19574650</v>
      </c>
      <c r="AQ11" s="9">
        <f t="shared" si="7"/>
        <v>-25942695</v>
      </c>
      <c r="AR11" s="6">
        <f t="shared" si="8"/>
        <v>115081299</v>
      </c>
      <c r="AS11" s="9">
        <f t="shared" si="9"/>
        <v>-298488546</v>
      </c>
      <c r="AT11" s="9">
        <f t="shared" si="10"/>
        <v>7660059</v>
      </c>
      <c r="AU11" s="6">
        <f t="shared" si="11"/>
        <v>-605186</v>
      </c>
    </row>
    <row r="12" spans="1:47" x14ac:dyDescent="0.25">
      <c r="A12" t="s">
        <v>42</v>
      </c>
      <c r="B12">
        <v>20700</v>
      </c>
      <c r="C12" s="6">
        <f>VLOOKUP(B12,'ER Contributions'!A:D,4,FALSE)</f>
        <v>7419443</v>
      </c>
      <c r="D12" s="7">
        <f>VLOOKUP(B12,'ER Contributions'!A:D,3,FALSE)</f>
        <v>5.8757999999999996E-3</v>
      </c>
      <c r="E12" s="9">
        <f>VLOOKUP(B12,'75 - Summary Exhibit'!A:N,3,FALSE)</f>
        <v>139531878</v>
      </c>
      <c r="F12" s="9">
        <f>VLOOKUP(B12,'75 - Summary Exhibit'!A:N,4,FALSE)</f>
        <v>1354670</v>
      </c>
      <c r="G12" s="9">
        <f>VLOOKUP(B12,'75 - Summary Exhibit'!A:N,5,FALSE)</f>
        <v>1208286</v>
      </c>
      <c r="H12" s="9">
        <f>VLOOKUP(B12,'75 - Summary Exhibit'!A:N,6,FALSE)</f>
        <v>11171340</v>
      </c>
      <c r="I12" s="6">
        <f>VLOOKUP(B12,'75 - Summary Exhibit'!A:N,7,FALSE)</f>
        <v>10398738</v>
      </c>
      <c r="J12" s="6">
        <f>VLOOKUP(B12,'75 - Summary Exhibit'!A:N,8,FALSE)</f>
        <v>386099</v>
      </c>
      <c r="K12" s="6">
        <f>VLOOKUP(B12,'75 - Summary Exhibit'!A:N,9,FALSE)</f>
        <v>0</v>
      </c>
      <c r="L12" s="6">
        <f>VLOOKUP(B12,'75 - Summary Exhibit'!A:N,10,FALSE)</f>
        <v>63504243</v>
      </c>
      <c r="M12" s="6">
        <f>VLOOKUP(B12,'75 - Summary Exhibit'!A:N,11,FALSE)</f>
        <v>6089076</v>
      </c>
      <c r="N12" s="6">
        <f>VLOOKUP(B12,'75 - Summary Exhibit'!A:N,12,FALSE)</f>
        <v>-15561108</v>
      </c>
      <c r="O12" s="6">
        <f>VLOOKUP(B12,'75 - Summary Exhibit'!A:N,13,FALSE)</f>
        <v>-2066983</v>
      </c>
      <c r="P12" s="6">
        <f t="shared" si="0"/>
        <v>-17628091</v>
      </c>
      <c r="Q12" s="6">
        <f>VLOOKUP(B12,'75- Deferred Amortization'!A:G,3,FALSE)</f>
        <v>-14185298</v>
      </c>
      <c r="R12" s="6">
        <f>VLOOKUP(B12,'75- Deferred Amortization'!A:G,4,FALSE)</f>
        <v>-10665189</v>
      </c>
      <c r="S12" s="6">
        <f>VLOOKUP(B12,'75- Deferred Amortization'!A:G,5,FALSE)</f>
        <v>-12979698</v>
      </c>
      <c r="T12" s="6">
        <f>VLOOKUP(B12,'75- Deferred Amortization'!A:G,6,FALSE)</f>
        <v>-8016199</v>
      </c>
      <c r="U12" s="6">
        <f>VLOOKUP(B12,'75- Deferred Amortization'!A:G,7,FALSE)</f>
        <v>0</v>
      </c>
      <c r="V12" s="6">
        <f t="shared" si="1"/>
        <v>5</v>
      </c>
      <c r="W12" s="6">
        <f t="shared" si="2"/>
        <v>0</v>
      </c>
      <c r="X12">
        <v>1</v>
      </c>
      <c r="Z12" s="226">
        <f>VLOOKUP(B12,'Noncap Contr Alloc'!A:C,3,FALSE)</f>
        <v>1060617</v>
      </c>
      <c r="AC12" s="9">
        <v>188462629</v>
      </c>
      <c r="AD12" s="9">
        <v>1112656</v>
      </c>
      <c r="AE12" s="9">
        <v>0</v>
      </c>
      <c r="AF12" s="9">
        <v>15414620</v>
      </c>
      <c r="AG12" s="6">
        <v>15336322</v>
      </c>
      <c r="AH12" s="6">
        <v>3508167</v>
      </c>
      <c r="AI12" s="6">
        <v>96406</v>
      </c>
      <c r="AJ12" s="6">
        <v>45800515</v>
      </c>
      <c r="AK12" s="6">
        <v>5482299</v>
      </c>
      <c r="AM12" s="6">
        <f t="shared" si="3"/>
        <v>-4937584</v>
      </c>
      <c r="AN12" s="6">
        <f t="shared" si="4"/>
        <v>606777</v>
      </c>
      <c r="AO12" s="9">
        <f t="shared" si="5"/>
        <v>242014</v>
      </c>
      <c r="AP12" s="6">
        <f t="shared" si="6"/>
        <v>-3122068</v>
      </c>
      <c r="AQ12" s="9">
        <f t="shared" si="7"/>
        <v>-4243280</v>
      </c>
      <c r="AR12" s="6">
        <f t="shared" si="8"/>
        <v>17703728</v>
      </c>
      <c r="AS12" s="9">
        <f t="shared" si="9"/>
        <v>-48930751</v>
      </c>
      <c r="AT12" s="9">
        <f t="shared" si="10"/>
        <v>1208286</v>
      </c>
      <c r="AU12" s="6">
        <f t="shared" si="11"/>
        <v>-96406</v>
      </c>
    </row>
    <row r="13" spans="1:47" x14ac:dyDescent="0.25">
      <c r="A13" t="s">
        <v>45</v>
      </c>
      <c r="B13">
        <v>21200</v>
      </c>
      <c r="C13" s="6">
        <f>VLOOKUP(B13,'ER Contributions'!A:D,4,FALSE)</f>
        <v>3649897</v>
      </c>
      <c r="D13" s="7">
        <f>VLOOKUP(B13,'ER Contributions'!A:D,3,FALSE)</f>
        <v>3.0068E-3</v>
      </c>
      <c r="E13" s="9">
        <f>VLOOKUP(B13,'75 - Summary Exhibit'!A:N,3,FALSE)</f>
        <v>71401687</v>
      </c>
      <c r="F13" s="9">
        <f>VLOOKUP(B13,'75 - Summary Exhibit'!A:N,4,FALSE)</f>
        <v>693216</v>
      </c>
      <c r="G13" s="9">
        <f>VLOOKUP(B13,'75 - Summary Exhibit'!A:N,5,FALSE)</f>
        <v>618308</v>
      </c>
      <c r="H13" s="9">
        <f>VLOOKUP(B13,'75 - Summary Exhibit'!A:N,6,FALSE)</f>
        <v>5716633</v>
      </c>
      <c r="I13" s="6">
        <f>VLOOKUP(B13,'75 - Summary Exhibit'!A:N,7,FALSE)</f>
        <v>3947722</v>
      </c>
      <c r="J13" s="6">
        <f>VLOOKUP(B13,'75 - Summary Exhibit'!A:N,8,FALSE)</f>
        <v>197576</v>
      </c>
      <c r="K13" s="6">
        <f>VLOOKUP(B13,'75 - Summary Exhibit'!A:N,9,FALSE)</f>
        <v>0</v>
      </c>
      <c r="L13" s="6">
        <f>VLOOKUP(B13,'75 - Summary Exhibit'!A:N,10,FALSE)</f>
        <v>32496589</v>
      </c>
      <c r="M13" s="6">
        <f>VLOOKUP(B13,'75 - Summary Exhibit'!A:N,11,FALSE)</f>
        <v>4206840</v>
      </c>
      <c r="N13" s="6">
        <f>VLOOKUP(B13,'75 - Summary Exhibit'!A:N,12,FALSE)</f>
        <v>-7962979</v>
      </c>
      <c r="O13" s="6">
        <f>VLOOKUP(B13,'75 - Summary Exhibit'!A:N,13,FALSE)</f>
        <v>-2235207</v>
      </c>
      <c r="P13" s="6">
        <f t="shared" si="0"/>
        <v>-10198186</v>
      </c>
      <c r="Q13" s="6">
        <f>VLOOKUP(B13,'75- Deferred Amortization'!A:G,3,FALSE)</f>
        <v>-7873274</v>
      </c>
      <c r="R13" s="6">
        <f>VLOOKUP(B13,'75- Deferred Amortization'!A:G,4,FALSE)</f>
        <v>-5871867</v>
      </c>
      <c r="S13" s="6">
        <f>VLOOKUP(B13,'75- Deferred Amortization'!A:G,5,FALSE)</f>
        <v>-7139752</v>
      </c>
      <c r="T13" s="6">
        <f>VLOOKUP(B13,'75- Deferred Amortization'!A:G,6,FALSE)</f>
        <v>-5040234</v>
      </c>
      <c r="U13" s="6">
        <f>VLOOKUP(B13,'75- Deferred Amortization'!A:G,7,FALSE)</f>
        <v>0</v>
      </c>
      <c r="V13" s="6">
        <f t="shared" si="1"/>
        <v>-1</v>
      </c>
      <c r="W13" s="6">
        <f t="shared" si="2"/>
        <v>1</v>
      </c>
      <c r="X13">
        <v>1</v>
      </c>
      <c r="Z13" s="226">
        <f>VLOOKUP(B13,'Noncap Contr Alloc'!A:C,3,FALSE)</f>
        <v>542745</v>
      </c>
      <c r="AC13" s="9">
        <v>96716720</v>
      </c>
      <c r="AD13" s="9">
        <v>571002</v>
      </c>
      <c r="AE13" s="9">
        <v>0</v>
      </c>
      <c r="AF13" s="9">
        <v>7910595</v>
      </c>
      <c r="AG13" s="6">
        <v>6132799</v>
      </c>
      <c r="AH13" s="6">
        <v>1800348</v>
      </c>
      <c r="AI13" s="6">
        <v>49475</v>
      </c>
      <c r="AJ13" s="6">
        <v>23504265</v>
      </c>
      <c r="AK13" s="6">
        <v>4261228</v>
      </c>
      <c r="AM13" s="6">
        <f t="shared" si="3"/>
        <v>-2185077</v>
      </c>
      <c r="AN13" s="6">
        <f t="shared" si="4"/>
        <v>-54388</v>
      </c>
      <c r="AO13" s="9">
        <f t="shared" si="5"/>
        <v>122214</v>
      </c>
      <c r="AP13" s="6">
        <f t="shared" si="6"/>
        <v>-1602772</v>
      </c>
      <c r="AQ13" s="9">
        <f t="shared" si="7"/>
        <v>-2193962</v>
      </c>
      <c r="AR13" s="6">
        <f t="shared" si="8"/>
        <v>8992324</v>
      </c>
      <c r="AS13" s="9">
        <f t="shared" si="9"/>
        <v>-25315033</v>
      </c>
      <c r="AT13" s="9">
        <f t="shared" si="10"/>
        <v>618308</v>
      </c>
      <c r="AU13" s="6">
        <f t="shared" si="11"/>
        <v>-49475</v>
      </c>
    </row>
    <row r="14" spans="1:47" x14ac:dyDescent="0.25">
      <c r="A14" t="s">
        <v>48</v>
      </c>
      <c r="B14">
        <v>21550</v>
      </c>
      <c r="C14" s="6">
        <f>VLOOKUP(B14,'ER Contributions'!A:D,4,FALSE)</f>
        <v>51066414</v>
      </c>
      <c r="D14" s="7">
        <f>VLOOKUP(B14,'ER Contributions'!A:D,3,FALSE)</f>
        <v>4.6175399999999998E-2</v>
      </c>
      <c r="E14" s="9">
        <f>VLOOKUP(B14,'75 - Summary Exhibit'!A:N,3,FALSE)</f>
        <v>1096520831</v>
      </c>
      <c r="F14" s="9">
        <f>VLOOKUP(B14,'75 - Summary Exhibit'!A:N,4,FALSE)</f>
        <v>10645767</v>
      </c>
      <c r="G14" s="9">
        <f>VLOOKUP(B14,'75 - Summary Exhibit'!A:N,5,FALSE)</f>
        <v>9495396</v>
      </c>
      <c r="H14" s="9">
        <f>VLOOKUP(B14,'75 - Summary Exhibit'!A:N,6,FALSE)</f>
        <v>87790739</v>
      </c>
      <c r="I14" s="6">
        <f>VLOOKUP(B14,'75 - Summary Exhibit'!A:N,7,FALSE)</f>
        <v>138688845</v>
      </c>
      <c r="J14" s="6">
        <f>VLOOKUP(B14,'75 - Summary Exhibit'!A:N,8,FALSE)</f>
        <v>3034186</v>
      </c>
      <c r="K14" s="6">
        <f>VLOOKUP(B14,'75 - Summary Exhibit'!A:N,9,FALSE)</f>
        <v>0</v>
      </c>
      <c r="L14" s="6">
        <f>VLOOKUP(B14,'75 - Summary Exhibit'!A:N,10,FALSE)</f>
        <v>499052449</v>
      </c>
      <c r="M14" s="6">
        <f>VLOOKUP(B14,'75 - Summary Exhibit'!A:N,11,FALSE)</f>
        <v>0</v>
      </c>
      <c r="N14" s="6">
        <f>VLOOKUP(B14,'75 - Summary Exhibit'!A:N,12,FALSE)</f>
        <v>-122288034</v>
      </c>
      <c r="O14" s="6">
        <f>VLOOKUP(B14,'75 - Summary Exhibit'!A:N,13,FALSE)</f>
        <v>46387364</v>
      </c>
      <c r="P14" s="6">
        <f t="shared" si="0"/>
        <v>-75900670</v>
      </c>
      <c r="Q14" s="6">
        <f>VLOOKUP(B14,'75- Deferred Amortization'!A:G,3,FALSE)</f>
        <v>-87900590</v>
      </c>
      <c r="R14" s="6">
        <f>VLOOKUP(B14,'75- Deferred Amortization'!A:G,4,FALSE)</f>
        <v>-42083113</v>
      </c>
      <c r="S14" s="6">
        <f>VLOOKUP(B14,'75- Deferred Amortization'!A:G,5,FALSE)</f>
        <v>-78757699</v>
      </c>
      <c r="T14" s="6">
        <f>VLOOKUP(B14,'75- Deferred Amortization'!A:G,6,FALSE)</f>
        <v>-46724486</v>
      </c>
      <c r="U14" s="6">
        <f>VLOOKUP(B14,'75- Deferred Amortization'!A:G,7,FALSE)</f>
        <v>0</v>
      </c>
      <c r="V14" s="6">
        <f t="shared" si="1"/>
        <v>23</v>
      </c>
      <c r="W14" s="6">
        <f t="shared" si="2"/>
        <v>0</v>
      </c>
      <c r="X14">
        <v>1</v>
      </c>
      <c r="Z14" s="226">
        <f>VLOOKUP(B14,'Noncap Contr Alloc'!A:C,3,FALSE)</f>
        <v>8334937</v>
      </c>
      <c r="AC14" s="9">
        <v>1397152283</v>
      </c>
      <c r="AD14" s="9">
        <v>8248585</v>
      </c>
      <c r="AE14" s="9">
        <v>0</v>
      </c>
      <c r="AF14" s="9">
        <v>114275027</v>
      </c>
      <c r="AG14" s="6">
        <v>157628163</v>
      </c>
      <c r="AH14" s="6">
        <v>26007508</v>
      </c>
      <c r="AI14" s="6">
        <v>714700</v>
      </c>
      <c r="AJ14" s="6">
        <v>339538370</v>
      </c>
      <c r="AK14" s="6">
        <v>4027677</v>
      </c>
      <c r="AM14" s="6">
        <f t="shared" si="3"/>
        <v>-18939318</v>
      </c>
      <c r="AN14" s="6">
        <f t="shared" si="4"/>
        <v>-4027677</v>
      </c>
      <c r="AO14" s="9">
        <f t="shared" si="5"/>
        <v>2397182</v>
      </c>
      <c r="AP14" s="6">
        <f t="shared" si="6"/>
        <v>-22973322</v>
      </c>
      <c r="AQ14" s="9">
        <f t="shared" si="7"/>
        <v>-26484288</v>
      </c>
      <c r="AR14" s="6">
        <f t="shared" si="8"/>
        <v>159514079</v>
      </c>
      <c r="AS14" s="9">
        <f t="shared" si="9"/>
        <v>-300631452</v>
      </c>
      <c r="AT14" s="9">
        <f t="shared" si="10"/>
        <v>9495396</v>
      </c>
      <c r="AU14" s="6">
        <f t="shared" si="11"/>
        <v>-714700</v>
      </c>
    </row>
    <row r="15" spans="1:47" x14ac:dyDescent="0.25">
      <c r="A15" t="s">
        <v>47</v>
      </c>
      <c r="B15">
        <v>21520</v>
      </c>
      <c r="C15" s="6">
        <f>VLOOKUP(B15,'ER Contributions'!A:D,4,FALSE)</f>
        <v>83005713</v>
      </c>
      <c r="D15" s="7">
        <f>VLOOKUP(B15,'ER Contributions'!A:D,3,FALSE)</f>
        <v>7.1698600000000001E-2</v>
      </c>
      <c r="E15" s="9">
        <f>VLOOKUP(B15,'75 - Summary Exhibit'!A:N,3,FALSE)</f>
        <v>1702614844</v>
      </c>
      <c r="F15" s="9">
        <f>VLOOKUP(B15,'75 - Summary Exhibit'!A:N,4,FALSE)</f>
        <v>16530139</v>
      </c>
      <c r="G15" s="9">
        <f>VLOOKUP(B15,'75 - Summary Exhibit'!A:N,5,FALSE)</f>
        <v>14743907</v>
      </c>
      <c r="H15" s="9">
        <f>VLOOKUP(B15,'75 - Summary Exhibit'!A:N,6,FALSE)</f>
        <v>136316440</v>
      </c>
      <c r="I15" s="6">
        <f>VLOOKUP(B15,'75 - Summary Exhibit'!A:N,7,FALSE)</f>
        <v>110505070</v>
      </c>
      <c r="J15" s="6">
        <f>VLOOKUP(B15,'75 - Summary Exhibit'!A:N,8,FALSE)</f>
        <v>4711311</v>
      </c>
      <c r="K15" s="6">
        <f>VLOOKUP(B15,'75 - Summary Exhibit'!A:N,9,FALSE)</f>
        <v>0</v>
      </c>
      <c r="L15" s="6">
        <f>VLOOKUP(B15,'75 - Summary Exhibit'!A:N,10,FALSE)</f>
        <v>774900106</v>
      </c>
      <c r="M15" s="6">
        <f>VLOOKUP(B15,'75 - Summary Exhibit'!A:N,11,FALSE)</f>
        <v>0</v>
      </c>
      <c r="N15" s="6">
        <f>VLOOKUP(B15,'75 - Summary Exhibit'!A:N,12,FALSE)</f>
        <v>-189881866</v>
      </c>
      <c r="O15" s="6">
        <f>VLOOKUP(B15,'75 - Summary Exhibit'!A:N,13,FALSE)</f>
        <v>-7834095</v>
      </c>
      <c r="P15" s="6">
        <f t="shared" si="0"/>
        <v>-197715961</v>
      </c>
      <c r="Q15" s="6">
        <f>VLOOKUP(B15,'75- Deferred Amortization'!A:G,3,FALSE)</f>
        <v>-158898483</v>
      </c>
      <c r="R15" s="6">
        <f>VLOOKUP(B15,'75- Deferred Amortization'!A:G,4,FALSE)</f>
        <v>-114587411</v>
      </c>
      <c r="S15" s="6">
        <f>VLOOKUP(B15,'75- Deferred Amortization'!A:G,5,FALSE)</f>
        <v>-145516452</v>
      </c>
      <c r="T15" s="6">
        <f>VLOOKUP(B15,'75- Deferred Amortization'!A:G,6,FALSE)</f>
        <v>-82513514</v>
      </c>
      <c r="U15" s="6">
        <f>VLOOKUP(B15,'75- Deferred Amortization'!A:G,7,FALSE)</f>
        <v>0</v>
      </c>
      <c r="V15" s="6">
        <f t="shared" si="1"/>
        <v>22</v>
      </c>
      <c r="W15" s="6">
        <f t="shared" si="2"/>
        <v>-1</v>
      </c>
      <c r="X15">
        <v>1</v>
      </c>
      <c r="Z15" s="226">
        <f>VLOOKUP(B15,'Noncap Contr Alloc'!A:C,3,FALSE)</f>
        <v>12942027</v>
      </c>
      <c r="AC15" s="9">
        <v>2212739626</v>
      </c>
      <c r="AD15" s="9">
        <v>13063694</v>
      </c>
      <c r="AE15" s="9">
        <v>0</v>
      </c>
      <c r="AF15" s="9">
        <v>180983050</v>
      </c>
      <c r="AG15" s="6">
        <v>164667774</v>
      </c>
      <c r="AH15" s="6">
        <v>41189385</v>
      </c>
      <c r="AI15" s="6">
        <v>1131906</v>
      </c>
      <c r="AJ15" s="6">
        <v>537743820</v>
      </c>
      <c r="AK15" s="6">
        <v>63704209</v>
      </c>
      <c r="AM15" s="6">
        <f t="shared" si="3"/>
        <v>-54162704</v>
      </c>
      <c r="AN15" s="6">
        <f t="shared" si="4"/>
        <v>-63704209</v>
      </c>
      <c r="AO15" s="9">
        <f t="shared" si="5"/>
        <v>3466445</v>
      </c>
      <c r="AP15" s="6">
        <f t="shared" si="6"/>
        <v>-36478074</v>
      </c>
      <c r="AQ15" s="9">
        <f t="shared" si="7"/>
        <v>-44666610</v>
      </c>
      <c r="AR15" s="6">
        <f t="shared" si="8"/>
        <v>237156286</v>
      </c>
      <c r="AS15" s="9">
        <f t="shared" si="9"/>
        <v>-510124782</v>
      </c>
      <c r="AT15" s="9">
        <f t="shared" si="10"/>
        <v>14743907</v>
      </c>
      <c r="AU15" s="6">
        <f t="shared" si="11"/>
        <v>-1131906</v>
      </c>
    </row>
    <row r="16" spans="1:47" x14ac:dyDescent="0.25">
      <c r="A16" t="s">
        <v>51</v>
      </c>
      <c r="B16">
        <v>23000</v>
      </c>
      <c r="C16" s="6">
        <f>VLOOKUP(B16,'ER Contributions'!A:D,4,FALSE)</f>
        <v>2636949</v>
      </c>
      <c r="D16" s="7">
        <f>VLOOKUP(B16,'ER Contributions'!A:D,3,FALSE)</f>
        <v>2.2418E-3</v>
      </c>
      <c r="E16" s="9">
        <f>VLOOKUP(B16,'75 - Summary Exhibit'!A:N,3,FALSE)</f>
        <v>53235051</v>
      </c>
      <c r="F16" s="9">
        <f>VLOOKUP(B16,'75 - Summary Exhibit'!A:N,4,FALSE)</f>
        <v>516842</v>
      </c>
      <c r="G16" s="9">
        <f>VLOOKUP(B16,'75 - Summary Exhibit'!A:N,5,FALSE)</f>
        <v>460992</v>
      </c>
      <c r="H16" s="9">
        <f>VLOOKUP(B16,'75 - Summary Exhibit'!A:N,6,FALSE)</f>
        <v>4262158</v>
      </c>
      <c r="I16" s="6">
        <f>VLOOKUP(B16,'75 - Summary Exhibit'!A:N,7,FALSE)</f>
        <v>1033887</v>
      </c>
      <c r="J16" s="6">
        <f>VLOOKUP(B16,'75 - Summary Exhibit'!A:N,8,FALSE)</f>
        <v>147307</v>
      </c>
      <c r="K16" s="6">
        <f>VLOOKUP(B16,'75 - Summary Exhibit'!A:N,9,FALSE)</f>
        <v>0</v>
      </c>
      <c r="L16" s="6">
        <f>VLOOKUP(B16,'75 - Summary Exhibit'!A:N,10,FALSE)</f>
        <v>24228525</v>
      </c>
      <c r="M16" s="6">
        <f>VLOOKUP(B16,'75 - Summary Exhibit'!A:N,11,FALSE)</f>
        <v>6912420</v>
      </c>
      <c r="N16" s="6">
        <f>VLOOKUP(B16,'75 - Summary Exhibit'!A:N,12,FALSE)</f>
        <v>-5936968</v>
      </c>
      <c r="O16" s="6">
        <f>VLOOKUP(B16,'75 - Summary Exhibit'!A:N,13,FALSE)</f>
        <v>-2171380</v>
      </c>
      <c r="P16" s="6">
        <f t="shared" si="0"/>
        <v>-8108348</v>
      </c>
      <c r="Q16" s="6">
        <f>VLOOKUP(B16,'75- Deferred Amortization'!A:G,3,FALSE)</f>
        <v>-7660243</v>
      </c>
      <c r="R16" s="6">
        <f>VLOOKUP(B16,'75- Deferred Amortization'!A:G,4,FALSE)</f>
        <v>-6379160</v>
      </c>
      <c r="S16" s="6">
        <f>VLOOKUP(B16,'75- Deferred Amortization'!A:G,5,FALSE)</f>
        <v>-6785562</v>
      </c>
      <c r="T16" s="6">
        <f>VLOOKUP(B16,'75- Deferred Amortization'!A:G,6,FALSE)</f>
        <v>-4189407</v>
      </c>
      <c r="U16" s="6">
        <f>VLOOKUP(B16,'75- Deferred Amortization'!A:G,7,FALSE)</f>
        <v>0</v>
      </c>
      <c r="V16" s="6">
        <f t="shared" si="1"/>
        <v>-2</v>
      </c>
      <c r="W16" s="6">
        <f t="shared" si="2"/>
        <v>-1</v>
      </c>
      <c r="X16">
        <v>1</v>
      </c>
      <c r="Z16" s="226">
        <f>VLOOKUP(B16,'Noncap Contr Alloc'!A:C,3,FALSE)</f>
        <v>404658</v>
      </c>
      <c r="AC16" s="9">
        <v>73543501</v>
      </c>
      <c r="AD16" s="9">
        <v>434190</v>
      </c>
      <c r="AE16" s="9">
        <v>0</v>
      </c>
      <c r="AF16" s="9">
        <v>6015225</v>
      </c>
      <c r="AG16" s="6">
        <v>2067774</v>
      </c>
      <c r="AH16" s="6">
        <v>1368987</v>
      </c>
      <c r="AI16" s="6">
        <v>37620</v>
      </c>
      <c r="AJ16" s="6">
        <v>17872669</v>
      </c>
      <c r="AK16" s="6">
        <v>5093789</v>
      </c>
      <c r="AM16" s="6">
        <f t="shared" si="3"/>
        <v>-1033887</v>
      </c>
      <c r="AN16" s="6">
        <f t="shared" si="4"/>
        <v>1818631</v>
      </c>
      <c r="AO16" s="9">
        <f t="shared" si="5"/>
        <v>82652</v>
      </c>
      <c r="AP16" s="6">
        <f t="shared" si="6"/>
        <v>-1221680</v>
      </c>
      <c r="AQ16" s="9">
        <f t="shared" si="7"/>
        <v>-1753067</v>
      </c>
      <c r="AR16" s="6">
        <f t="shared" si="8"/>
        <v>6355856</v>
      </c>
      <c r="AS16" s="9">
        <f t="shared" si="9"/>
        <v>-20308450</v>
      </c>
      <c r="AT16" s="9">
        <f t="shared" si="10"/>
        <v>460992</v>
      </c>
      <c r="AU16" s="6">
        <f t="shared" si="11"/>
        <v>-37620</v>
      </c>
    </row>
    <row r="17" spans="1:47" x14ac:dyDescent="0.25">
      <c r="A17" t="s">
        <v>52</v>
      </c>
      <c r="B17">
        <v>23100</v>
      </c>
      <c r="C17" s="6">
        <f>VLOOKUP(B17,'ER Contributions'!A:D,4,FALSE)</f>
        <v>17145044</v>
      </c>
      <c r="D17" s="7">
        <f>VLOOKUP(B17,'ER Contributions'!A:D,3,FALSE)</f>
        <v>1.50361E-2</v>
      </c>
      <c r="E17" s="9">
        <f>VLOOKUP(B17,'75 - Summary Exhibit'!A:N,3,FALSE)</f>
        <v>357060159</v>
      </c>
      <c r="F17" s="9">
        <f>VLOOKUP(B17,'75 - Summary Exhibit'!A:N,4,FALSE)</f>
        <v>3466582</v>
      </c>
      <c r="G17" s="9">
        <f>VLOOKUP(B17,'75 - Summary Exhibit'!A:N,5,FALSE)</f>
        <v>3091986</v>
      </c>
      <c r="H17" s="9">
        <f>VLOOKUP(B17,'75 - Summary Exhibit'!A:N,6,FALSE)</f>
        <v>28587305</v>
      </c>
      <c r="I17" s="6">
        <f>VLOOKUP(B17,'75 - Summary Exhibit'!A:N,7,FALSE)</f>
        <v>19592691</v>
      </c>
      <c r="J17" s="6">
        <f>VLOOKUP(B17,'75 - Summary Exhibit'!A:N,8,FALSE)</f>
        <v>988022</v>
      </c>
      <c r="K17" s="6">
        <f>VLOOKUP(B17,'75 - Summary Exhibit'!A:N,9,FALSE)</f>
        <v>0</v>
      </c>
      <c r="L17" s="6">
        <f>VLOOKUP(B17,'75 - Summary Exhibit'!A:N,10,FALSE)</f>
        <v>162506486</v>
      </c>
      <c r="M17" s="6">
        <f>VLOOKUP(B17,'75 - Summary Exhibit'!A:N,11,FALSE)</f>
        <v>14712572</v>
      </c>
      <c r="N17" s="6">
        <f>VLOOKUP(B17,'75 - Summary Exhibit'!A:N,12,FALSE)</f>
        <v>-39820660</v>
      </c>
      <c r="O17" s="6">
        <f>VLOOKUP(B17,'75 - Summary Exhibit'!A:N,13,FALSE)</f>
        <v>1680260</v>
      </c>
      <c r="P17" s="6">
        <f t="shared" si="0"/>
        <v>-38140400</v>
      </c>
      <c r="Q17" s="6">
        <f>VLOOKUP(B17,'75- Deferred Amortization'!A:G,3,FALSE)</f>
        <v>-36086007</v>
      </c>
      <c r="R17" s="6">
        <f>VLOOKUP(B17,'75- Deferred Amortization'!A:G,4,FALSE)</f>
        <v>-27005603</v>
      </c>
      <c r="S17" s="6">
        <f>VLOOKUP(B17,'75- Deferred Amortization'!A:G,5,FALSE)</f>
        <v>-36901666</v>
      </c>
      <c r="T17" s="6">
        <f>VLOOKUP(B17,'75- Deferred Amortization'!A:G,6,FALSE)</f>
        <v>-23475240</v>
      </c>
      <c r="U17" s="6">
        <f>VLOOKUP(B17,'75- Deferred Amortization'!A:G,7,FALSE)</f>
        <v>0</v>
      </c>
      <c r="V17" s="6">
        <f t="shared" si="1"/>
        <v>9</v>
      </c>
      <c r="W17" s="6">
        <f t="shared" si="2"/>
        <v>0</v>
      </c>
      <c r="X17">
        <v>1</v>
      </c>
      <c r="Z17" s="226">
        <f>VLOOKUP(B17,'Noncap Contr Alloc'!A:C,3,FALSE)</f>
        <v>2714106</v>
      </c>
      <c r="AC17" s="9">
        <v>479780356</v>
      </c>
      <c r="AD17" s="9">
        <v>2832554</v>
      </c>
      <c r="AE17" s="9">
        <v>0</v>
      </c>
      <c r="AF17" s="9">
        <v>39241902</v>
      </c>
      <c r="AG17" s="6">
        <v>32224555</v>
      </c>
      <c r="AH17" s="6">
        <v>8930946</v>
      </c>
      <c r="AI17" s="6">
        <v>245427</v>
      </c>
      <c r="AJ17" s="6">
        <v>116597054</v>
      </c>
      <c r="AK17" s="6">
        <v>7273462</v>
      </c>
      <c r="AM17" s="6">
        <f t="shared" si="3"/>
        <v>-12631864</v>
      </c>
      <c r="AN17" s="6">
        <f t="shared" si="4"/>
        <v>7439110</v>
      </c>
      <c r="AO17" s="9">
        <f t="shared" si="5"/>
        <v>634028</v>
      </c>
      <c r="AP17" s="6">
        <f t="shared" si="6"/>
        <v>-7942924</v>
      </c>
      <c r="AQ17" s="9">
        <f t="shared" si="7"/>
        <v>-10654597</v>
      </c>
      <c r="AR17" s="6">
        <f t="shared" si="8"/>
        <v>45909432</v>
      </c>
      <c r="AS17" s="9">
        <f t="shared" si="9"/>
        <v>-122720197</v>
      </c>
      <c r="AT17" s="9">
        <f t="shared" si="10"/>
        <v>3091986</v>
      </c>
      <c r="AU17" s="6">
        <f t="shared" si="11"/>
        <v>-245427</v>
      </c>
    </row>
    <row r="18" spans="1:47" x14ac:dyDescent="0.25">
      <c r="A18" t="s">
        <v>44</v>
      </c>
      <c r="B18">
        <v>20900</v>
      </c>
      <c r="C18" s="6">
        <f>VLOOKUP(B18,'ER Contributions'!A:D,4,FALSE)</f>
        <v>11957869</v>
      </c>
      <c r="D18" s="7">
        <f>VLOOKUP(B18,'ER Contributions'!A:D,3,FALSE)</f>
        <v>1.00625E-2</v>
      </c>
      <c r="E18" s="9">
        <f>VLOOKUP(B18,'75 - Summary Exhibit'!A:N,3,FALSE)</f>
        <v>238952914</v>
      </c>
      <c r="F18" s="9">
        <f>VLOOKUP(B18,'75 - Summary Exhibit'!A:N,4,FALSE)</f>
        <v>2319917</v>
      </c>
      <c r="G18" s="9">
        <f>VLOOKUP(B18,'75 - Summary Exhibit'!A:N,5,FALSE)</f>
        <v>2069229</v>
      </c>
      <c r="H18" s="9">
        <f>VLOOKUP(B18,'75 - Summary Exhibit'!A:N,6,FALSE)</f>
        <v>19131285</v>
      </c>
      <c r="I18" s="6">
        <f>VLOOKUP(B18,'75 - Summary Exhibit'!A:N,7,FALSE)</f>
        <v>19051267</v>
      </c>
      <c r="J18" s="6">
        <f>VLOOKUP(B18,'75 - Summary Exhibit'!A:N,8,FALSE)</f>
        <v>661207</v>
      </c>
      <c r="K18" s="6">
        <f>VLOOKUP(B18,'75 - Summary Exhibit'!A:N,9,FALSE)</f>
        <v>0</v>
      </c>
      <c r="L18" s="6">
        <f>VLOOKUP(B18,'75 - Summary Exhibit'!A:N,10,FALSE)</f>
        <v>108753098</v>
      </c>
      <c r="M18" s="6">
        <f>VLOOKUP(B18,'75 - Summary Exhibit'!A:N,11,FALSE)</f>
        <v>7625536</v>
      </c>
      <c r="N18" s="6">
        <f>VLOOKUP(B18,'75 - Summary Exhibit'!A:N,12,FALSE)</f>
        <v>-26648908</v>
      </c>
      <c r="O18" s="6">
        <f>VLOOKUP(B18,'75 - Summary Exhibit'!A:N,13,FALSE)</f>
        <v>-132422</v>
      </c>
      <c r="P18" s="6">
        <f t="shared" si="0"/>
        <v>-26781330</v>
      </c>
      <c r="Q18" s="6">
        <f>VLOOKUP(B18,'75- Deferred Amortization'!A:G,3,FALSE)</f>
        <v>-21818373</v>
      </c>
      <c r="R18" s="6">
        <f>VLOOKUP(B18,'75- Deferred Amortization'!A:G,4,FALSE)</f>
        <v>-15551104</v>
      </c>
      <c r="S18" s="6">
        <f>VLOOKUP(B18,'75- Deferred Amortization'!A:G,5,FALSE)</f>
        <v>-22561631</v>
      </c>
      <c r="T18" s="6">
        <f>VLOOKUP(B18,'75- Deferred Amortization'!A:G,6,FALSE)</f>
        <v>-14537035</v>
      </c>
      <c r="U18" s="6">
        <f>VLOOKUP(B18,'75- Deferred Amortization'!A:G,7,FALSE)</f>
        <v>0</v>
      </c>
      <c r="V18" s="6">
        <f t="shared" si="1"/>
        <v>4</v>
      </c>
      <c r="W18" s="6">
        <f t="shared" si="2"/>
        <v>0</v>
      </c>
      <c r="X18">
        <v>1</v>
      </c>
      <c r="Z18" s="226">
        <f>VLOOKUP(B18,'Noncap Contr Alloc'!A:C,3,FALSE)</f>
        <v>1816342</v>
      </c>
      <c r="AC18" s="9">
        <v>319128934</v>
      </c>
      <c r="AD18" s="9">
        <v>1884091</v>
      </c>
      <c r="AE18" s="9">
        <v>0</v>
      </c>
      <c r="AF18" s="9">
        <v>26101999</v>
      </c>
      <c r="AG18" s="6">
        <v>29280905</v>
      </c>
      <c r="AH18" s="6">
        <v>5940475</v>
      </c>
      <c r="AI18" s="6">
        <v>163247</v>
      </c>
      <c r="AJ18" s="6">
        <v>77555267</v>
      </c>
      <c r="AK18" s="6">
        <v>8455674</v>
      </c>
      <c r="AM18" s="6">
        <f t="shared" si="3"/>
        <v>-10229638</v>
      </c>
      <c r="AN18" s="6">
        <f t="shared" si="4"/>
        <v>-830138</v>
      </c>
      <c r="AO18" s="9">
        <f t="shared" si="5"/>
        <v>435826</v>
      </c>
      <c r="AP18" s="6">
        <f t="shared" si="6"/>
        <v>-5279268</v>
      </c>
      <c r="AQ18" s="9">
        <f t="shared" si="7"/>
        <v>-6970714</v>
      </c>
      <c r="AR18" s="6">
        <f t="shared" si="8"/>
        <v>31197831</v>
      </c>
      <c r="AS18" s="9">
        <f t="shared" si="9"/>
        <v>-80176020</v>
      </c>
      <c r="AT18" s="9">
        <f t="shared" si="10"/>
        <v>2069229</v>
      </c>
      <c r="AU18" s="6">
        <f t="shared" si="11"/>
        <v>-163247</v>
      </c>
    </row>
    <row r="19" spans="1:47" x14ac:dyDescent="0.25">
      <c r="A19" t="s">
        <v>53</v>
      </c>
      <c r="B19">
        <v>23200</v>
      </c>
      <c r="C19" s="6">
        <f>VLOOKUP(B19,'ER Contributions'!A:D,4,FALSE)</f>
        <v>10153177</v>
      </c>
      <c r="D19" s="7">
        <f>VLOOKUP(B19,'ER Contributions'!A:D,3,FALSE)</f>
        <v>8.4893E-3</v>
      </c>
      <c r="E19" s="9">
        <f>VLOOKUP(B19,'75 - Summary Exhibit'!A:N,3,FALSE)</f>
        <v>201593584</v>
      </c>
      <c r="F19" s="9">
        <f>VLOOKUP(B19,'75 - Summary Exhibit'!A:N,4,FALSE)</f>
        <v>1957207</v>
      </c>
      <c r="G19" s="9">
        <f>VLOOKUP(B19,'75 - Summary Exhibit'!A:N,5,FALSE)</f>
        <v>1745713</v>
      </c>
      <c r="H19" s="9">
        <f>VLOOKUP(B19,'75 - Summary Exhibit'!A:N,6,FALSE)</f>
        <v>16140186</v>
      </c>
      <c r="I19" s="6">
        <f>VLOOKUP(B19,'75 - Summary Exhibit'!A:N,7,FALSE)</f>
        <v>22809098</v>
      </c>
      <c r="J19" s="6">
        <f>VLOOKUP(B19,'75 - Summary Exhibit'!A:N,8,FALSE)</f>
        <v>557830</v>
      </c>
      <c r="K19" s="6">
        <f>VLOOKUP(B19,'75 - Summary Exhibit'!A:N,9,FALSE)</f>
        <v>0</v>
      </c>
      <c r="L19" s="6">
        <f>VLOOKUP(B19,'75 - Summary Exhibit'!A:N,10,FALSE)</f>
        <v>91749987</v>
      </c>
      <c r="M19" s="6">
        <f>VLOOKUP(B19,'75 - Summary Exhibit'!A:N,11,FALSE)</f>
        <v>1529440</v>
      </c>
      <c r="N19" s="6">
        <f>VLOOKUP(B19,'75 - Summary Exhibit'!A:N,12,FALSE)</f>
        <v>-22482457</v>
      </c>
      <c r="O19" s="6">
        <f>VLOOKUP(B19,'75 - Summary Exhibit'!A:N,13,FALSE)</f>
        <v>4810457</v>
      </c>
      <c r="P19" s="6">
        <f t="shared" si="0"/>
        <v>-17672000</v>
      </c>
      <c r="Q19" s="6">
        <f>VLOOKUP(B19,'75- Deferred Amortization'!A:G,3,FALSE)</f>
        <v>-15018389</v>
      </c>
      <c r="R19" s="6">
        <f>VLOOKUP(B19,'75- Deferred Amortization'!A:G,4,FALSE)</f>
        <v>-9397371</v>
      </c>
      <c r="S19" s="6">
        <f>VLOOKUP(B19,'75- Deferred Amortization'!A:G,5,FALSE)</f>
        <v>-17308527</v>
      </c>
      <c r="T19" s="6">
        <f>VLOOKUP(B19,'75- Deferred Amortization'!A:G,6,FALSE)</f>
        <v>-9460767</v>
      </c>
      <c r="U19" s="6">
        <f>VLOOKUP(B19,'75- Deferred Amortization'!A:G,7,FALSE)</f>
        <v>0</v>
      </c>
      <c r="V19" s="6">
        <f t="shared" si="1"/>
        <v>-1</v>
      </c>
      <c r="W19" s="6">
        <f t="shared" si="2"/>
        <v>1</v>
      </c>
      <c r="X19">
        <v>1</v>
      </c>
      <c r="Z19" s="226">
        <f>VLOOKUP(B19,'Noncap Contr Alloc'!A:C,3,FALSE)</f>
        <v>1532370</v>
      </c>
      <c r="AC19" s="9">
        <v>264070324</v>
      </c>
      <c r="AD19" s="9">
        <v>1559033</v>
      </c>
      <c r="AE19" s="9">
        <v>0</v>
      </c>
      <c r="AF19" s="9">
        <v>21598679</v>
      </c>
      <c r="AG19" s="6">
        <v>33602174</v>
      </c>
      <c r="AH19" s="6">
        <v>4915578</v>
      </c>
      <c r="AI19" s="6">
        <v>135083</v>
      </c>
      <c r="AJ19" s="6">
        <v>64174828</v>
      </c>
      <c r="AK19" s="6">
        <v>5600256</v>
      </c>
      <c r="AM19" s="6">
        <f t="shared" si="3"/>
        <v>-10793076</v>
      </c>
      <c r="AN19" s="6">
        <f t="shared" si="4"/>
        <v>-4070816</v>
      </c>
      <c r="AO19" s="9">
        <f t="shared" si="5"/>
        <v>398174</v>
      </c>
      <c r="AP19" s="6">
        <f t="shared" si="6"/>
        <v>-4357748</v>
      </c>
      <c r="AQ19" s="9">
        <f t="shared" si="7"/>
        <v>-5458493</v>
      </c>
      <c r="AR19" s="6">
        <f t="shared" si="8"/>
        <v>27575159</v>
      </c>
      <c r="AS19" s="9">
        <f t="shared" si="9"/>
        <v>-62476740</v>
      </c>
      <c r="AT19" s="9">
        <f t="shared" si="10"/>
        <v>1745713</v>
      </c>
      <c r="AU19" s="6">
        <f t="shared" si="11"/>
        <v>-135083</v>
      </c>
    </row>
    <row r="20" spans="1:47" x14ac:dyDescent="0.25">
      <c r="A20" t="s">
        <v>49</v>
      </c>
      <c r="B20">
        <v>21800</v>
      </c>
      <c r="C20" s="6">
        <f>VLOOKUP(B20,'ER Contributions'!A:D,4,FALSE)</f>
        <v>6683884</v>
      </c>
      <c r="D20" s="7">
        <f>VLOOKUP(B20,'ER Contributions'!A:D,3,FALSE)</f>
        <v>5.7423999999999999E-3</v>
      </c>
      <c r="E20" s="9">
        <f>VLOOKUP(B20,'75 - Summary Exhibit'!A:N,3,FALSE)</f>
        <v>136364233</v>
      </c>
      <c r="F20" s="9">
        <f>VLOOKUP(B20,'75 - Summary Exhibit'!A:N,4,FALSE)</f>
        <v>1323916</v>
      </c>
      <c r="G20" s="9">
        <f>VLOOKUP(B20,'75 - Summary Exhibit'!A:N,5,FALSE)</f>
        <v>1180855</v>
      </c>
      <c r="H20" s="9">
        <f>VLOOKUP(B20,'75 - Summary Exhibit'!A:N,6,FALSE)</f>
        <v>10917729</v>
      </c>
      <c r="I20" s="6">
        <f>VLOOKUP(B20,'75 - Summary Exhibit'!A:N,7,FALSE)</f>
        <v>7365768</v>
      </c>
      <c r="J20" s="6">
        <f>VLOOKUP(B20,'75 - Summary Exhibit'!A:N,8,FALSE)</f>
        <v>377334</v>
      </c>
      <c r="K20" s="6">
        <f>VLOOKUP(B20,'75 - Summary Exhibit'!A:N,9,FALSE)</f>
        <v>0</v>
      </c>
      <c r="L20" s="6">
        <f>VLOOKUP(B20,'75 - Summary Exhibit'!A:N,10,FALSE)</f>
        <v>62062573</v>
      </c>
      <c r="M20" s="6">
        <f>VLOOKUP(B20,'75 - Summary Exhibit'!A:N,11,FALSE)</f>
        <v>4088300</v>
      </c>
      <c r="N20" s="6">
        <f>VLOOKUP(B20,'75 - Summary Exhibit'!A:N,12,FALSE)</f>
        <v>-15207842</v>
      </c>
      <c r="O20" s="6">
        <f>VLOOKUP(B20,'75 - Summary Exhibit'!A:N,13,FALSE)</f>
        <v>-987587</v>
      </c>
      <c r="P20" s="6">
        <f t="shared" si="0"/>
        <v>-16195429</v>
      </c>
      <c r="Q20" s="6">
        <f>VLOOKUP(B20,'75- Deferred Amortization'!A:G,3,FALSE)</f>
        <v>-13477115</v>
      </c>
      <c r="R20" s="6">
        <f>VLOOKUP(B20,'75- Deferred Amortization'!A:G,4,FALSE)</f>
        <v>-10595159</v>
      </c>
      <c r="S20" s="6">
        <f>VLOOKUP(B20,'75- Deferred Amortization'!A:G,5,FALSE)</f>
        <v>-13436528</v>
      </c>
      <c r="T20" s="6">
        <f>VLOOKUP(B20,'75- Deferred Amortization'!A:G,6,FALSE)</f>
        <v>-8231137</v>
      </c>
      <c r="U20" s="6">
        <f>VLOOKUP(B20,'75- Deferred Amortization'!A:G,7,FALSE)</f>
        <v>0</v>
      </c>
      <c r="V20" s="6">
        <f t="shared" si="1"/>
        <v>3</v>
      </c>
      <c r="W20" s="6">
        <f t="shared" si="2"/>
        <v>0</v>
      </c>
      <c r="X20">
        <v>1</v>
      </c>
      <c r="Z20" s="226">
        <f>VLOOKUP(B20,'Noncap Contr Alloc'!A:C,3,FALSE)</f>
        <v>1036538</v>
      </c>
      <c r="AC20" s="9">
        <v>181718927</v>
      </c>
      <c r="AD20" s="9">
        <v>1072842</v>
      </c>
      <c r="AE20" s="9">
        <v>0</v>
      </c>
      <c r="AF20" s="9">
        <v>14863044</v>
      </c>
      <c r="AG20" s="6">
        <v>12111773</v>
      </c>
      <c r="AH20" s="6">
        <v>3382635</v>
      </c>
      <c r="AI20" s="6">
        <v>92957</v>
      </c>
      <c r="AJ20" s="6">
        <v>44161649</v>
      </c>
      <c r="AK20" s="6">
        <v>4711517</v>
      </c>
      <c r="AM20" s="6">
        <f t="shared" si="3"/>
        <v>-4746005</v>
      </c>
      <c r="AN20" s="6">
        <f t="shared" si="4"/>
        <v>-623217</v>
      </c>
      <c r="AO20" s="9">
        <f t="shared" si="5"/>
        <v>251074</v>
      </c>
      <c r="AP20" s="6">
        <f t="shared" si="6"/>
        <v>-3005301</v>
      </c>
      <c r="AQ20" s="9">
        <f t="shared" si="7"/>
        <v>-3945315</v>
      </c>
      <c r="AR20" s="6">
        <f t="shared" si="8"/>
        <v>17900924</v>
      </c>
      <c r="AS20" s="9">
        <f t="shared" si="9"/>
        <v>-45354694</v>
      </c>
      <c r="AT20" s="9">
        <f t="shared" si="10"/>
        <v>1180855</v>
      </c>
      <c r="AU20" s="6">
        <f t="shared" si="11"/>
        <v>-92957</v>
      </c>
    </row>
    <row r="21" spans="1:47" x14ac:dyDescent="0.25">
      <c r="A21" t="s">
        <v>50</v>
      </c>
      <c r="B21">
        <v>21900</v>
      </c>
      <c r="C21" s="6">
        <f>VLOOKUP(B21,'ER Contributions'!A:D,4,FALSE)</f>
        <v>3280712</v>
      </c>
      <c r="D21" s="7">
        <f>VLOOKUP(B21,'ER Contributions'!A:D,3,FALSE)</f>
        <v>2.5501E-3</v>
      </c>
      <c r="E21" s="9">
        <f>VLOOKUP(B21,'75 - Summary Exhibit'!A:N,3,FALSE)</f>
        <v>60556469</v>
      </c>
      <c r="F21" s="9">
        <f>VLOOKUP(B21,'75 - Summary Exhibit'!A:N,4,FALSE)</f>
        <v>587923</v>
      </c>
      <c r="G21" s="9">
        <f>VLOOKUP(B21,'75 - Summary Exhibit'!A:N,5,FALSE)</f>
        <v>524393</v>
      </c>
      <c r="H21" s="9">
        <f>VLOOKUP(B21,'75 - Summary Exhibit'!A:N,6,FALSE)</f>
        <v>4848332</v>
      </c>
      <c r="I21" s="6">
        <f>VLOOKUP(B21,'75 - Summary Exhibit'!A:N,7,FALSE)</f>
        <v>818826</v>
      </c>
      <c r="J21" s="6">
        <f>VLOOKUP(B21,'75 - Summary Exhibit'!A:N,8,FALSE)</f>
        <v>167566</v>
      </c>
      <c r="K21" s="6">
        <f>VLOOKUP(B21,'75 - Summary Exhibit'!A:N,9,FALSE)</f>
        <v>0</v>
      </c>
      <c r="L21" s="6">
        <f>VLOOKUP(B21,'75 - Summary Exhibit'!A:N,10,FALSE)</f>
        <v>27560675</v>
      </c>
      <c r="M21" s="6">
        <f>VLOOKUP(B21,'75 - Summary Exhibit'!A:N,11,FALSE)</f>
        <v>12454963</v>
      </c>
      <c r="N21" s="6">
        <f>VLOOKUP(B21,'75 - Summary Exhibit'!A:N,12,FALSE)</f>
        <v>-6753480</v>
      </c>
      <c r="O21" s="6">
        <f>VLOOKUP(B21,'75 - Summary Exhibit'!A:N,13,FALSE)</f>
        <v>-5569202</v>
      </c>
      <c r="P21" s="6">
        <f t="shared" si="0"/>
        <v>-12322682</v>
      </c>
      <c r="Q21" s="6">
        <f>VLOOKUP(B21,'75- Deferred Amortization'!A:G,3,FALSE)</f>
        <v>-10768407</v>
      </c>
      <c r="R21" s="6">
        <f>VLOOKUP(B21,'75- Deferred Amortization'!A:G,4,FALSE)</f>
        <v>-8953885</v>
      </c>
      <c r="S21" s="6">
        <f>VLOOKUP(B21,'75- Deferred Amortization'!A:G,5,FALSE)</f>
        <v>-8658104</v>
      </c>
      <c r="T21" s="6">
        <f>VLOOKUP(B21,'75- Deferred Amortization'!A:G,6,FALSE)</f>
        <v>-5023333</v>
      </c>
      <c r="U21" s="6">
        <f>VLOOKUP(B21,'75- Deferred Amortization'!A:G,7,FALSE)</f>
        <v>0</v>
      </c>
      <c r="V21" s="6">
        <f t="shared" si="1"/>
        <v>-2</v>
      </c>
      <c r="W21" s="6">
        <f t="shared" si="2"/>
        <v>-1</v>
      </c>
      <c r="X21">
        <v>1</v>
      </c>
      <c r="Z21" s="226">
        <f>VLOOKUP(B21,'Noncap Contr Alloc'!A:C,3,FALSE)</f>
        <v>460308</v>
      </c>
      <c r="AC21" s="9">
        <v>85094361</v>
      </c>
      <c r="AD21" s="9">
        <v>502385</v>
      </c>
      <c r="AE21" s="9">
        <v>0</v>
      </c>
      <c r="AF21" s="9">
        <v>6959986</v>
      </c>
      <c r="AG21" s="6">
        <v>1637652</v>
      </c>
      <c r="AH21" s="6">
        <v>1584002</v>
      </c>
      <c r="AI21" s="6">
        <v>43529</v>
      </c>
      <c r="AJ21" s="6">
        <v>20679779</v>
      </c>
      <c r="AK21" s="6">
        <v>11722251</v>
      </c>
      <c r="AM21" s="6">
        <f t="shared" si="3"/>
        <v>-818826</v>
      </c>
      <c r="AN21" s="6">
        <f t="shared" si="4"/>
        <v>732712</v>
      </c>
      <c r="AO21" s="9">
        <f t="shared" si="5"/>
        <v>85538</v>
      </c>
      <c r="AP21" s="6">
        <f t="shared" si="6"/>
        <v>-1416436</v>
      </c>
      <c r="AQ21" s="9">
        <f t="shared" si="7"/>
        <v>-2111654</v>
      </c>
      <c r="AR21" s="6">
        <f t="shared" si="8"/>
        <v>6880896</v>
      </c>
      <c r="AS21" s="9">
        <f t="shared" si="9"/>
        <v>-24537892</v>
      </c>
      <c r="AT21" s="9">
        <f t="shared" si="10"/>
        <v>524393</v>
      </c>
      <c r="AU21" s="6">
        <f t="shared" si="11"/>
        <v>-43529</v>
      </c>
    </row>
    <row r="22" spans="1:47" x14ac:dyDescent="0.25">
      <c r="A22" t="s">
        <v>54</v>
      </c>
      <c r="B22">
        <v>30105</v>
      </c>
      <c r="C22" s="6">
        <f>VLOOKUP(B22,'ER Contributions'!A:D,4,FALSE)</f>
        <v>914068</v>
      </c>
      <c r="D22" s="7">
        <f>VLOOKUP(B22,'ER Contributions'!A:D,3,FALSE)</f>
        <v>6.9539999999999999E-4</v>
      </c>
      <c r="E22" s="9">
        <f>VLOOKUP(B22,'75 - Summary Exhibit'!A:N,3,FALSE)</f>
        <v>16513917</v>
      </c>
      <c r="F22" s="9">
        <f>VLOOKUP(B22,'75 - Summary Exhibit'!A:N,4,FALSE)</f>
        <v>160328</v>
      </c>
      <c r="G22" s="9">
        <f>VLOOKUP(B22,'75 - Summary Exhibit'!A:N,5,FALSE)</f>
        <v>143003</v>
      </c>
      <c r="H22" s="9">
        <f>VLOOKUP(B22,'75 - Summary Exhibit'!A:N,6,FALSE)</f>
        <v>1322154</v>
      </c>
      <c r="I22" s="6">
        <f>VLOOKUP(B22,'75 - Summary Exhibit'!A:N,7,FALSE)</f>
        <v>708092</v>
      </c>
      <c r="J22" s="6">
        <f>VLOOKUP(B22,'75 - Summary Exhibit'!A:N,8,FALSE)</f>
        <v>45696</v>
      </c>
      <c r="K22" s="6">
        <f>VLOOKUP(B22,'75 - Summary Exhibit'!A:N,9,FALSE)</f>
        <v>0</v>
      </c>
      <c r="L22" s="6">
        <f>VLOOKUP(B22,'75 - Summary Exhibit'!A:N,10,FALSE)</f>
        <v>7515872</v>
      </c>
      <c r="M22" s="6">
        <f>VLOOKUP(B22,'75 - Summary Exhibit'!A:N,11,FALSE)</f>
        <v>1606286</v>
      </c>
      <c r="N22" s="6">
        <f>VLOOKUP(B22,'75 - Summary Exhibit'!A:N,12,FALSE)</f>
        <v>-1841694</v>
      </c>
      <c r="O22" s="6">
        <f>VLOOKUP(B22,'75 - Summary Exhibit'!A:N,13,FALSE)</f>
        <v>-38295</v>
      </c>
      <c r="P22" s="6">
        <f t="shared" si="0"/>
        <v>-1879989</v>
      </c>
      <c r="Q22" s="6">
        <f>VLOOKUP(B22,'75- Deferred Amortization'!A:G,3,FALSE)</f>
        <v>-2244155</v>
      </c>
      <c r="R22" s="6">
        <f>VLOOKUP(B22,'75- Deferred Amortization'!A:G,4,FALSE)</f>
        <v>-1856318</v>
      </c>
      <c r="S22" s="6">
        <f>VLOOKUP(B22,'75- Deferred Amortization'!A:G,5,FALSE)</f>
        <v>-1905783</v>
      </c>
      <c r="T22" s="6">
        <f>VLOOKUP(B22,'75- Deferred Amortization'!A:G,6,FALSE)</f>
        <v>-828021</v>
      </c>
      <c r="U22" s="6">
        <f>VLOOKUP(B22,'75- Deferred Amortization'!A:G,7,FALSE)</f>
        <v>0</v>
      </c>
      <c r="V22" s="6">
        <f t="shared" si="1"/>
        <v>1</v>
      </c>
      <c r="W22" s="6">
        <f t="shared" si="2"/>
        <v>0</v>
      </c>
      <c r="X22">
        <v>2</v>
      </c>
      <c r="Z22" s="226">
        <f>VLOOKUP(B22,'Noncap Contr Alloc'!A:C,3,FALSE)</f>
        <v>125524</v>
      </c>
      <c r="AC22" s="9">
        <v>21469649</v>
      </c>
      <c r="AD22" s="9">
        <v>126754</v>
      </c>
      <c r="AE22" s="9">
        <v>0</v>
      </c>
      <c r="AF22" s="9">
        <v>1756032</v>
      </c>
      <c r="AG22" s="6">
        <v>1139415</v>
      </c>
      <c r="AH22" s="6">
        <v>399650</v>
      </c>
      <c r="AI22" s="6">
        <v>10983</v>
      </c>
      <c r="AJ22" s="6">
        <v>5217591</v>
      </c>
      <c r="AK22" s="6">
        <v>2192104</v>
      </c>
      <c r="AM22" s="6">
        <f t="shared" si="3"/>
        <v>-431323</v>
      </c>
      <c r="AN22" s="6">
        <f t="shared" si="4"/>
        <v>-585818</v>
      </c>
      <c r="AO22" s="9">
        <f t="shared" si="5"/>
        <v>33574</v>
      </c>
      <c r="AP22" s="6">
        <f t="shared" si="6"/>
        <v>-353954</v>
      </c>
      <c r="AQ22" s="9">
        <f t="shared" si="7"/>
        <v>-433878</v>
      </c>
      <c r="AR22" s="6">
        <f t="shared" si="8"/>
        <v>2298281</v>
      </c>
      <c r="AS22" s="9">
        <f t="shared" si="9"/>
        <v>-4955732</v>
      </c>
      <c r="AT22" s="9">
        <f t="shared" si="10"/>
        <v>143003</v>
      </c>
      <c r="AU22" s="6">
        <f t="shared" si="11"/>
        <v>-10983</v>
      </c>
    </row>
    <row r="23" spans="1:47" x14ac:dyDescent="0.25">
      <c r="A23" t="s">
        <v>59</v>
      </c>
      <c r="B23">
        <v>31105</v>
      </c>
      <c r="C23" s="6">
        <f>VLOOKUP(B23,'ER Contributions'!A:D,4,FALSE)</f>
        <v>1584168</v>
      </c>
      <c r="D23" s="7">
        <f>VLOOKUP(B23,'ER Contributions'!A:D,3,FALSE)</f>
        <v>1.2712999999999999E-3</v>
      </c>
      <c r="E23" s="9">
        <f>VLOOKUP(B23,'75 - Summary Exhibit'!A:N,3,FALSE)</f>
        <v>30189316</v>
      </c>
      <c r="F23" s="9">
        <f>VLOOKUP(B23,'75 - Summary Exhibit'!A:N,4,FALSE)</f>
        <v>293098</v>
      </c>
      <c r="G23" s="9">
        <f>VLOOKUP(B23,'75 - Summary Exhibit'!A:N,5,FALSE)</f>
        <v>261426</v>
      </c>
      <c r="H23" s="9">
        <f>VLOOKUP(B23,'75 - Summary Exhibit'!A:N,6,FALSE)</f>
        <v>2417047</v>
      </c>
      <c r="I23" s="6">
        <f>VLOOKUP(B23,'75 - Summary Exhibit'!A:N,7,FALSE)</f>
        <v>969395</v>
      </c>
      <c r="J23" s="6">
        <f>VLOOKUP(B23,'75 - Summary Exhibit'!A:N,8,FALSE)</f>
        <v>83537</v>
      </c>
      <c r="K23" s="6">
        <f>VLOOKUP(B23,'75 - Summary Exhibit'!A:N,9,FALSE)</f>
        <v>0</v>
      </c>
      <c r="L23" s="6">
        <f>VLOOKUP(B23,'75 - Summary Exhibit'!A:N,10,FALSE)</f>
        <v>13739868</v>
      </c>
      <c r="M23" s="6">
        <f>VLOOKUP(B23,'75 - Summary Exhibit'!A:N,11,FALSE)</f>
        <v>2319359</v>
      </c>
      <c r="N23" s="6">
        <f>VLOOKUP(B23,'75 - Summary Exhibit'!A:N,12,FALSE)</f>
        <v>-3366823</v>
      </c>
      <c r="O23" s="6">
        <f>VLOOKUP(B23,'75 - Summary Exhibit'!A:N,13,FALSE)</f>
        <v>-762966</v>
      </c>
      <c r="P23" s="6">
        <f t="shared" si="0"/>
        <v>-4129789</v>
      </c>
      <c r="Q23" s="6">
        <f>VLOOKUP(B23,'75- Deferred Amortization'!A:G,3,FALSE)</f>
        <v>-3929368</v>
      </c>
      <c r="R23" s="6">
        <f>VLOOKUP(B23,'75- Deferred Amortization'!A:G,4,FALSE)</f>
        <v>-3208960</v>
      </c>
      <c r="S23" s="6">
        <f>VLOOKUP(B23,'75- Deferred Amortization'!A:G,5,FALSE)</f>
        <v>-3346034</v>
      </c>
      <c r="T23" s="6">
        <f>VLOOKUP(B23,'75- Deferred Amortization'!A:G,6,FALSE)</f>
        <v>-1717436</v>
      </c>
      <c r="U23" s="6">
        <f>VLOOKUP(B23,'75- Deferred Amortization'!A:G,7,FALSE)</f>
        <v>0</v>
      </c>
      <c r="V23" s="6">
        <f t="shared" si="1"/>
        <v>0</v>
      </c>
      <c r="W23" s="6">
        <f t="shared" si="2"/>
        <v>0</v>
      </c>
      <c r="X23">
        <v>2</v>
      </c>
      <c r="Z23" s="226">
        <f>VLOOKUP(B23,'Noncap Contr Alloc'!A:C,3,FALSE)</f>
        <v>229477</v>
      </c>
      <c r="AC23" s="9">
        <v>39889314</v>
      </c>
      <c r="AD23" s="9">
        <v>235501</v>
      </c>
      <c r="AE23" s="9">
        <v>0</v>
      </c>
      <c r="AF23" s="9">
        <v>3262602</v>
      </c>
      <c r="AG23" s="6">
        <v>1656043</v>
      </c>
      <c r="AH23" s="6">
        <v>742526</v>
      </c>
      <c r="AI23" s="6">
        <v>20405</v>
      </c>
      <c r="AJ23" s="6">
        <v>9693970</v>
      </c>
      <c r="AK23" s="6">
        <v>3142479</v>
      </c>
      <c r="AM23" s="6">
        <f t="shared" si="3"/>
        <v>-686648</v>
      </c>
      <c r="AN23" s="6">
        <f t="shared" si="4"/>
        <v>-823120</v>
      </c>
      <c r="AO23" s="9">
        <f t="shared" si="5"/>
        <v>57597</v>
      </c>
      <c r="AP23" s="6">
        <f t="shared" si="6"/>
        <v>-658989</v>
      </c>
      <c r="AQ23" s="9">
        <f t="shared" si="7"/>
        <v>-845555</v>
      </c>
      <c r="AR23" s="6">
        <f t="shared" si="8"/>
        <v>4045898</v>
      </c>
      <c r="AS23" s="9">
        <f t="shared" si="9"/>
        <v>-9699998</v>
      </c>
      <c r="AT23" s="9">
        <f t="shared" si="10"/>
        <v>261426</v>
      </c>
      <c r="AU23" s="6">
        <f t="shared" si="11"/>
        <v>-20405</v>
      </c>
    </row>
    <row r="24" spans="1:47" x14ac:dyDescent="0.25">
      <c r="A24" t="s">
        <v>56</v>
      </c>
      <c r="B24">
        <v>30705</v>
      </c>
      <c r="C24" s="6">
        <f>VLOOKUP(B24,'ER Contributions'!A:D,4,FALSE)</f>
        <v>501104</v>
      </c>
      <c r="D24" s="7">
        <f>VLOOKUP(B24,'ER Contributions'!A:D,3,FALSE)</f>
        <v>4.0989999999999999E-4</v>
      </c>
      <c r="E24" s="9">
        <f>VLOOKUP(B24,'75 - Summary Exhibit'!A:N,3,FALSE)</f>
        <v>9734407</v>
      </c>
      <c r="F24" s="9">
        <f>VLOOKUP(B24,'75 - Summary Exhibit'!A:N,4,FALSE)</f>
        <v>94508</v>
      </c>
      <c r="G24" s="9">
        <f>VLOOKUP(B24,'75 - Summary Exhibit'!A:N,5,FALSE)</f>
        <v>84296</v>
      </c>
      <c r="H24" s="9">
        <f>VLOOKUP(B24,'75 - Summary Exhibit'!A:N,6,FALSE)</f>
        <v>779366</v>
      </c>
      <c r="I24" s="6">
        <f>VLOOKUP(B24,'75 - Summary Exhibit'!A:N,7,FALSE)</f>
        <v>263114</v>
      </c>
      <c r="J24" s="6">
        <f>VLOOKUP(B24,'75 - Summary Exhibit'!A:N,8,FALSE)</f>
        <v>26936</v>
      </c>
      <c r="K24" s="6">
        <f>VLOOKUP(B24,'75 - Summary Exhibit'!A:N,9,FALSE)</f>
        <v>0</v>
      </c>
      <c r="L24" s="6">
        <f>VLOOKUP(B24,'75 - Summary Exhibit'!A:N,10,FALSE)</f>
        <v>4430358</v>
      </c>
      <c r="M24" s="6">
        <f>VLOOKUP(B24,'75 - Summary Exhibit'!A:N,11,FALSE)</f>
        <v>203247</v>
      </c>
      <c r="N24" s="6">
        <f>VLOOKUP(B24,'75 - Summary Exhibit'!A:N,12,FALSE)</f>
        <v>-1085618</v>
      </c>
      <c r="O24" s="6">
        <f>VLOOKUP(B24,'75 - Summary Exhibit'!A:N,13,FALSE)</f>
        <v>-270173</v>
      </c>
      <c r="P24" s="6">
        <f t="shared" si="0"/>
        <v>-1355791</v>
      </c>
      <c r="Q24" s="6">
        <f>VLOOKUP(B24,'75- Deferred Amortization'!A:G,3,FALSE)</f>
        <v>-1229548</v>
      </c>
      <c r="R24" s="6">
        <f>VLOOKUP(B24,'75- Deferred Amortization'!A:G,4,FALSE)</f>
        <v>-820050</v>
      </c>
      <c r="S24" s="6">
        <f>VLOOKUP(B24,'75- Deferred Amortization'!A:G,5,FALSE)</f>
        <v>-905910</v>
      </c>
      <c r="T24" s="6">
        <f>VLOOKUP(B24,'75- Deferred Amortization'!A:G,6,FALSE)</f>
        <v>-483749</v>
      </c>
      <c r="U24" s="6">
        <f>VLOOKUP(B24,'75- Deferred Amortization'!A:G,7,FALSE)</f>
        <v>0</v>
      </c>
      <c r="V24" s="6">
        <f t="shared" si="1"/>
        <v>5</v>
      </c>
      <c r="W24" s="6">
        <f t="shared" si="2"/>
        <v>0</v>
      </c>
      <c r="X24">
        <v>2</v>
      </c>
      <c r="Z24" s="226">
        <f>VLOOKUP(B24,'Noncap Contr Alloc'!A:C,3,FALSE)</f>
        <v>73989</v>
      </c>
      <c r="AC24" s="9">
        <v>12691683</v>
      </c>
      <c r="AD24" s="9">
        <v>74930</v>
      </c>
      <c r="AE24" s="9">
        <v>0</v>
      </c>
      <c r="AF24" s="9">
        <v>1038070</v>
      </c>
      <c r="AG24" s="6">
        <v>339250</v>
      </c>
      <c r="AH24" s="6">
        <v>236251</v>
      </c>
      <c r="AI24" s="6">
        <v>6492</v>
      </c>
      <c r="AJ24" s="6">
        <v>3084355</v>
      </c>
      <c r="AK24" s="6">
        <v>538022</v>
      </c>
      <c r="AM24" s="6">
        <f t="shared" si="3"/>
        <v>-76136</v>
      </c>
      <c r="AN24" s="6">
        <f t="shared" si="4"/>
        <v>-334775</v>
      </c>
      <c r="AO24" s="9">
        <f t="shared" si="5"/>
        <v>19578</v>
      </c>
      <c r="AP24" s="6">
        <f t="shared" si="6"/>
        <v>-209315</v>
      </c>
      <c r="AQ24" s="9">
        <f t="shared" si="7"/>
        <v>-258704</v>
      </c>
      <c r="AR24" s="6">
        <f t="shared" si="8"/>
        <v>1346003</v>
      </c>
      <c r="AS24" s="9">
        <f t="shared" si="9"/>
        <v>-2957276</v>
      </c>
      <c r="AT24" s="9">
        <f t="shared" si="10"/>
        <v>84296</v>
      </c>
      <c r="AU24" s="6">
        <f t="shared" si="11"/>
        <v>-6492</v>
      </c>
    </row>
    <row r="25" spans="1:47" x14ac:dyDescent="0.25">
      <c r="A25" t="s">
        <v>57</v>
      </c>
      <c r="B25">
        <v>30905</v>
      </c>
      <c r="C25" s="6">
        <f>VLOOKUP(B25,'ER Contributions'!A:D,4,FALSE)</f>
        <v>382109</v>
      </c>
      <c r="D25" s="7">
        <f>VLOOKUP(B25,'ER Contributions'!A:D,3,FALSE)</f>
        <v>2.3910000000000001E-4</v>
      </c>
      <c r="E25" s="9">
        <f>VLOOKUP(B25,'75 - Summary Exhibit'!A:N,3,FALSE)</f>
        <v>5678782</v>
      </c>
      <c r="F25" s="9">
        <f>VLOOKUP(B25,'75 - Summary Exhibit'!A:N,4,FALSE)</f>
        <v>55133</v>
      </c>
      <c r="G25" s="9">
        <f>VLOOKUP(B25,'75 - Summary Exhibit'!A:N,5,FALSE)</f>
        <v>49176</v>
      </c>
      <c r="H25" s="9">
        <f>VLOOKUP(B25,'75 - Summary Exhibit'!A:N,6,FALSE)</f>
        <v>454660</v>
      </c>
      <c r="I25" s="6">
        <f>VLOOKUP(B25,'75 - Summary Exhibit'!A:N,7,FALSE)</f>
        <v>82609</v>
      </c>
      <c r="J25" s="6">
        <f>VLOOKUP(B25,'75 - Summary Exhibit'!A:N,8,FALSE)</f>
        <v>15714</v>
      </c>
      <c r="K25" s="6">
        <f>VLOOKUP(B25,'75 - Summary Exhibit'!A:N,9,FALSE)</f>
        <v>0</v>
      </c>
      <c r="L25" s="6">
        <f>VLOOKUP(B25,'75 - Summary Exhibit'!A:N,10,FALSE)</f>
        <v>2584547</v>
      </c>
      <c r="M25" s="6">
        <f>VLOOKUP(B25,'75 - Summary Exhibit'!A:N,11,FALSE)</f>
        <v>502595</v>
      </c>
      <c r="N25" s="6">
        <f>VLOOKUP(B25,'75 - Summary Exhibit'!A:N,12,FALSE)</f>
        <v>-633317</v>
      </c>
      <c r="O25" s="6">
        <f>VLOOKUP(B25,'75 - Summary Exhibit'!A:N,13,FALSE)</f>
        <v>-350508</v>
      </c>
      <c r="P25" s="6">
        <f t="shared" si="0"/>
        <v>-983825</v>
      </c>
      <c r="Q25" s="6">
        <f>VLOOKUP(B25,'75- Deferred Amortization'!A:G,3,FALSE)</f>
        <v>-765532</v>
      </c>
      <c r="R25" s="6">
        <f>VLOOKUP(B25,'75- Deferred Amortization'!A:G,4,FALSE)</f>
        <v>-591827</v>
      </c>
      <c r="S25" s="6">
        <f>VLOOKUP(B25,'75- Deferred Amortization'!A:G,5,FALSE)</f>
        <v>-665504</v>
      </c>
      <c r="T25" s="6">
        <f>VLOOKUP(B25,'75- Deferred Amortization'!A:G,6,FALSE)</f>
        <v>-438415</v>
      </c>
      <c r="U25" s="6">
        <f>VLOOKUP(B25,'75- Deferred Amortization'!A:G,7,FALSE)</f>
        <v>0</v>
      </c>
      <c r="V25" s="6">
        <f t="shared" si="1"/>
        <v>7</v>
      </c>
      <c r="W25" s="6">
        <f t="shared" si="2"/>
        <v>0</v>
      </c>
      <c r="X25">
        <v>2</v>
      </c>
      <c r="Z25" s="226">
        <f>VLOOKUP(B25,'Noncap Contr Alloc'!A:C,3,FALSE)</f>
        <v>43159</v>
      </c>
      <c r="AC25" s="9">
        <v>7636399</v>
      </c>
      <c r="AD25" s="9">
        <v>45084</v>
      </c>
      <c r="AE25" s="9">
        <v>0</v>
      </c>
      <c r="AF25" s="9">
        <v>624592</v>
      </c>
      <c r="AG25" s="6">
        <v>160534</v>
      </c>
      <c r="AH25" s="6">
        <v>142149</v>
      </c>
      <c r="AI25" s="6">
        <v>3906</v>
      </c>
      <c r="AJ25" s="6">
        <v>1855811</v>
      </c>
      <c r="AK25" s="6">
        <v>741105</v>
      </c>
      <c r="AM25" s="6">
        <f t="shared" si="3"/>
        <v>-77925</v>
      </c>
      <c r="AN25" s="6">
        <f t="shared" si="4"/>
        <v>-238510</v>
      </c>
      <c r="AO25" s="9">
        <f t="shared" si="5"/>
        <v>10049</v>
      </c>
      <c r="AP25" s="6">
        <f t="shared" si="6"/>
        <v>-126435</v>
      </c>
      <c r="AQ25" s="9">
        <f t="shared" si="7"/>
        <v>-169932</v>
      </c>
      <c r="AR25" s="6">
        <f t="shared" si="8"/>
        <v>728736</v>
      </c>
      <c r="AS25" s="9">
        <f t="shared" si="9"/>
        <v>-1957617</v>
      </c>
      <c r="AT25" s="9">
        <f t="shared" si="10"/>
        <v>49176</v>
      </c>
      <c r="AU25" s="6">
        <f t="shared" si="11"/>
        <v>-3906</v>
      </c>
    </row>
    <row r="26" spans="1:47" x14ac:dyDescent="0.25">
      <c r="A26" t="s">
        <v>78</v>
      </c>
      <c r="B26">
        <v>34505</v>
      </c>
      <c r="C26" s="6">
        <f>VLOOKUP(B26,'ER Contributions'!A:D,4,FALSE)</f>
        <v>732629</v>
      </c>
      <c r="D26" s="7">
        <f>VLOOKUP(B26,'ER Contributions'!A:D,3,FALSE)</f>
        <v>5.8589999999999998E-4</v>
      </c>
      <c r="E26" s="9">
        <f>VLOOKUP(B26,'75 - Summary Exhibit'!A:N,3,FALSE)</f>
        <v>13913952</v>
      </c>
      <c r="F26" s="9">
        <f>VLOOKUP(B26,'75 - Summary Exhibit'!A:N,4,FALSE)</f>
        <v>135086</v>
      </c>
      <c r="G26" s="9">
        <f>VLOOKUP(B26,'75 - Summary Exhibit'!A:N,5,FALSE)</f>
        <v>120489</v>
      </c>
      <c r="H26" s="9">
        <f>VLOOKUP(B26,'75 - Summary Exhibit'!A:N,6,FALSE)</f>
        <v>1113993</v>
      </c>
      <c r="I26" s="6">
        <f>VLOOKUP(B26,'75 - Summary Exhibit'!A:N,7,FALSE)</f>
        <v>1279513</v>
      </c>
      <c r="J26" s="6">
        <f>VLOOKUP(B26,'75 - Summary Exhibit'!A:N,8,FALSE)</f>
        <v>38501</v>
      </c>
      <c r="K26" s="6">
        <f>VLOOKUP(B26,'75 - Summary Exhibit'!A:N,9,FALSE)</f>
        <v>0</v>
      </c>
      <c r="L26" s="6">
        <f>VLOOKUP(B26,'75 - Summary Exhibit'!A:N,10,FALSE)</f>
        <v>6332567</v>
      </c>
      <c r="M26" s="6">
        <f>VLOOKUP(B26,'75 - Summary Exhibit'!A:N,11,FALSE)</f>
        <v>296008</v>
      </c>
      <c r="N26" s="6">
        <f>VLOOKUP(B26,'75 - Summary Exhibit'!A:N,12,FALSE)</f>
        <v>-1551737</v>
      </c>
      <c r="O26" s="6">
        <f>VLOOKUP(B26,'75 - Summary Exhibit'!A:N,13,FALSE)</f>
        <v>251417</v>
      </c>
      <c r="P26" s="6">
        <f t="shared" si="0"/>
        <v>-1300320</v>
      </c>
      <c r="Q26" s="6">
        <f>VLOOKUP(B26,'75- Deferred Amortization'!A:G,3,FALSE)</f>
        <v>-1305076</v>
      </c>
      <c r="R26" s="6">
        <f>VLOOKUP(B26,'75- Deferred Amortization'!A:G,4,FALSE)</f>
        <v>-1037114</v>
      </c>
      <c r="S26" s="6">
        <f>VLOOKUP(B26,'75- Deferred Amortization'!A:G,5,FALSE)</f>
        <v>-1058155</v>
      </c>
      <c r="T26" s="6">
        <f>VLOOKUP(B26,'75- Deferred Amortization'!A:G,6,FALSE)</f>
        <v>-617651</v>
      </c>
      <c r="U26" s="6">
        <f>VLOOKUP(B26,'75- Deferred Amortization'!A:G,7,FALSE)</f>
        <v>0</v>
      </c>
      <c r="V26" s="6">
        <f t="shared" si="1"/>
        <v>6</v>
      </c>
      <c r="W26" s="6">
        <f t="shared" si="2"/>
        <v>1</v>
      </c>
      <c r="X26">
        <v>2</v>
      </c>
      <c r="Z26" s="226">
        <f>VLOOKUP(B26,'Noncap Contr Alloc'!A:C,3,FALSE)</f>
        <v>105758</v>
      </c>
      <c r="AC26" s="9">
        <v>18088145</v>
      </c>
      <c r="AD26" s="9">
        <v>106790</v>
      </c>
      <c r="AE26" s="9">
        <v>0</v>
      </c>
      <c r="AF26" s="9">
        <v>1479455</v>
      </c>
      <c r="AG26" s="6">
        <v>1815638</v>
      </c>
      <c r="AH26" s="6">
        <v>336705</v>
      </c>
      <c r="AI26" s="6">
        <v>9253</v>
      </c>
      <c r="AJ26" s="6">
        <v>4395812</v>
      </c>
      <c r="AK26" s="6">
        <v>642628</v>
      </c>
      <c r="AM26" s="6">
        <f t="shared" si="3"/>
        <v>-536125</v>
      </c>
      <c r="AN26" s="6">
        <f t="shared" si="4"/>
        <v>-346620</v>
      </c>
      <c r="AO26" s="9">
        <f t="shared" si="5"/>
        <v>28296</v>
      </c>
      <c r="AP26" s="6">
        <f t="shared" si="6"/>
        <v>-298204</v>
      </c>
      <c r="AQ26" s="9">
        <f t="shared" si="7"/>
        <v>-365462</v>
      </c>
      <c r="AR26" s="6">
        <f t="shared" si="8"/>
        <v>1936755</v>
      </c>
      <c r="AS26" s="9">
        <f t="shared" si="9"/>
        <v>-4174193</v>
      </c>
      <c r="AT26" s="9">
        <f t="shared" si="10"/>
        <v>120489</v>
      </c>
      <c r="AU26" s="6">
        <f t="shared" si="11"/>
        <v>-9253</v>
      </c>
    </row>
    <row r="27" spans="1:47" x14ac:dyDescent="0.25">
      <c r="A27" t="s">
        <v>58</v>
      </c>
      <c r="B27">
        <v>31005</v>
      </c>
      <c r="C27" s="6">
        <f>VLOOKUP(B27,'ER Contributions'!A:D,4,FALSE)</f>
        <v>518388</v>
      </c>
      <c r="D27" s="7">
        <f>VLOOKUP(B27,'ER Contributions'!A:D,3,FALSE)</f>
        <v>3.8959999999999998E-4</v>
      </c>
      <c r="E27" s="9">
        <f>VLOOKUP(B27,'75 - Summary Exhibit'!A:N,3,FALSE)</f>
        <v>9252248</v>
      </c>
      <c r="F27" s="9">
        <f>VLOOKUP(B27,'75 - Summary Exhibit'!A:N,4,FALSE)</f>
        <v>89827</v>
      </c>
      <c r="G27" s="9">
        <f>VLOOKUP(B27,'75 - Summary Exhibit'!A:N,5,FALSE)</f>
        <v>80120</v>
      </c>
      <c r="H27" s="9">
        <f>VLOOKUP(B27,'75 - Summary Exhibit'!A:N,6,FALSE)</f>
        <v>740763</v>
      </c>
      <c r="I27" s="6">
        <f>VLOOKUP(B27,'75 - Summary Exhibit'!A:N,7,FALSE)</f>
        <v>737988</v>
      </c>
      <c r="J27" s="6">
        <f>VLOOKUP(B27,'75 - Summary Exhibit'!A:N,8,FALSE)</f>
        <v>25602</v>
      </c>
      <c r="K27" s="6">
        <f>VLOOKUP(B27,'75 - Summary Exhibit'!A:N,9,FALSE)</f>
        <v>0</v>
      </c>
      <c r="L27" s="6">
        <f>VLOOKUP(B27,'75 - Summary Exhibit'!A:N,10,FALSE)</f>
        <v>4210916</v>
      </c>
      <c r="M27" s="6">
        <f>VLOOKUP(B27,'75 - Summary Exhibit'!A:N,11,FALSE)</f>
        <v>329829</v>
      </c>
      <c r="N27" s="6">
        <f>VLOOKUP(B27,'75 - Summary Exhibit'!A:N,12,FALSE)</f>
        <v>-1031845</v>
      </c>
      <c r="O27" s="6">
        <f>VLOOKUP(B27,'75 - Summary Exhibit'!A:N,13,FALSE)</f>
        <v>-122322</v>
      </c>
      <c r="P27" s="6">
        <f t="shared" si="0"/>
        <v>-1154167</v>
      </c>
      <c r="Q27" s="6">
        <f>VLOOKUP(B27,'75- Deferred Amortization'!A:G,3,FALSE)</f>
        <v>-1100668</v>
      </c>
      <c r="R27" s="6">
        <f>VLOOKUP(B27,'75- Deferred Amortization'!A:G,4,FALSE)</f>
        <v>-693710</v>
      </c>
      <c r="S27" s="6">
        <f>VLOOKUP(B27,'75- Deferred Amortization'!A:G,5,FALSE)</f>
        <v>-790934</v>
      </c>
      <c r="T27" s="6">
        <f>VLOOKUP(B27,'75- Deferred Amortization'!A:G,6,FALSE)</f>
        <v>-332337</v>
      </c>
      <c r="U27" s="6">
        <f>VLOOKUP(B27,'75- Deferred Amortization'!A:G,7,FALSE)</f>
        <v>0</v>
      </c>
      <c r="V27" s="6">
        <f t="shared" si="1"/>
        <v>4</v>
      </c>
      <c r="W27" s="6">
        <f t="shared" si="2"/>
        <v>0</v>
      </c>
      <c r="X27">
        <v>2</v>
      </c>
      <c r="Z27" s="226">
        <f>VLOOKUP(B27,'Noncap Contr Alloc'!A:C,3,FALSE)</f>
        <v>70325</v>
      </c>
      <c r="AC27" s="9">
        <v>11814360</v>
      </c>
      <c r="AD27" s="9">
        <v>69750</v>
      </c>
      <c r="AE27" s="9">
        <v>0</v>
      </c>
      <c r="AF27" s="9">
        <v>966313</v>
      </c>
      <c r="AG27" s="6">
        <v>599275</v>
      </c>
      <c r="AH27" s="6">
        <v>219920</v>
      </c>
      <c r="AI27" s="6">
        <v>6044</v>
      </c>
      <c r="AJ27" s="6">
        <v>2871146</v>
      </c>
      <c r="AK27" s="6">
        <v>636649</v>
      </c>
      <c r="AM27" s="6">
        <f t="shared" si="3"/>
        <v>138713</v>
      </c>
      <c r="AN27" s="6">
        <f t="shared" si="4"/>
        <v>-306820</v>
      </c>
      <c r="AO27" s="9">
        <f t="shared" si="5"/>
        <v>20077</v>
      </c>
      <c r="AP27" s="6">
        <f t="shared" si="6"/>
        <v>-194318</v>
      </c>
      <c r="AQ27" s="9">
        <f t="shared" si="7"/>
        <v>-225550</v>
      </c>
      <c r="AR27" s="6">
        <f t="shared" si="8"/>
        <v>1339770</v>
      </c>
      <c r="AS27" s="9">
        <f t="shared" si="9"/>
        <v>-2562112</v>
      </c>
      <c r="AT27" s="9">
        <f t="shared" si="10"/>
        <v>80120</v>
      </c>
      <c r="AU27" s="6">
        <f t="shared" si="11"/>
        <v>-6044</v>
      </c>
    </row>
    <row r="28" spans="1:47" x14ac:dyDescent="0.25">
      <c r="A28" t="s">
        <v>61</v>
      </c>
      <c r="B28">
        <v>31405</v>
      </c>
      <c r="C28" s="6">
        <f>VLOOKUP(B28,'ER Contributions'!A:D,4,FALSE)</f>
        <v>1024666</v>
      </c>
      <c r="D28" s="7">
        <f>VLOOKUP(B28,'ER Contributions'!A:D,3,FALSE)</f>
        <v>7.5350000000000005E-4</v>
      </c>
      <c r="E28" s="9">
        <f>VLOOKUP(B28,'75 - Summary Exhibit'!A:N,3,FALSE)</f>
        <v>17892586</v>
      </c>
      <c r="F28" s="9">
        <f>VLOOKUP(B28,'75 - Summary Exhibit'!A:N,4,FALSE)</f>
        <v>173713</v>
      </c>
      <c r="G28" s="9">
        <f>VLOOKUP(B28,'75 - Summary Exhibit'!A:N,5,FALSE)</f>
        <v>154942</v>
      </c>
      <c r="H28" s="9">
        <f>VLOOKUP(B28,'75 - Summary Exhibit'!A:N,6,FALSE)</f>
        <v>1432534</v>
      </c>
      <c r="I28" s="6">
        <f>VLOOKUP(B28,'75 - Summary Exhibit'!A:N,7,FALSE)</f>
        <v>1465265</v>
      </c>
      <c r="J28" s="6">
        <f>VLOOKUP(B28,'75 - Summary Exhibit'!A:N,8,FALSE)</f>
        <v>49511</v>
      </c>
      <c r="K28" s="6">
        <f>VLOOKUP(B28,'75 - Summary Exhibit'!A:N,9,FALSE)</f>
        <v>0</v>
      </c>
      <c r="L28" s="6">
        <f>VLOOKUP(B28,'75 - Summary Exhibit'!A:N,10,FALSE)</f>
        <v>8143337</v>
      </c>
      <c r="M28" s="6">
        <f>VLOOKUP(B28,'75 - Summary Exhibit'!A:N,11,FALSE)</f>
        <v>1406588</v>
      </c>
      <c r="N28" s="6">
        <f>VLOOKUP(B28,'75 - Summary Exhibit'!A:N,12,FALSE)</f>
        <v>-1995446</v>
      </c>
      <c r="O28" s="6">
        <f>VLOOKUP(B28,'75 - Summary Exhibit'!A:N,13,FALSE)</f>
        <v>-323052</v>
      </c>
      <c r="P28" s="6">
        <f t="shared" si="0"/>
        <v>-2318498</v>
      </c>
      <c r="Q28" s="6">
        <f>VLOOKUP(B28,'75- Deferred Amortization'!A:G,3,FALSE)</f>
        <v>-2285743</v>
      </c>
      <c r="R28" s="6">
        <f>VLOOKUP(B28,'75- Deferred Amortization'!A:G,4,FALSE)</f>
        <v>-1735726</v>
      </c>
      <c r="S28" s="6">
        <f>VLOOKUP(B28,'75- Deferred Amortization'!A:G,5,FALSE)</f>
        <v>-1661328</v>
      </c>
      <c r="T28" s="6">
        <f>VLOOKUP(B28,'75- Deferred Amortization'!A:G,6,FALSE)</f>
        <v>-690184</v>
      </c>
      <c r="U28" s="6">
        <f>VLOOKUP(B28,'75- Deferred Amortization'!A:G,7,FALSE)</f>
        <v>0</v>
      </c>
      <c r="V28" s="6">
        <f t="shared" si="1"/>
        <v>-5</v>
      </c>
      <c r="W28" s="6">
        <f t="shared" si="2"/>
        <v>-1</v>
      </c>
      <c r="X28">
        <v>2</v>
      </c>
      <c r="Z28" s="226">
        <f>VLOOKUP(B28,'Noncap Contr Alloc'!A:C,3,FALSE)</f>
        <v>136011</v>
      </c>
      <c r="AC28" s="9">
        <v>22836743</v>
      </c>
      <c r="AD28" s="9">
        <v>134825</v>
      </c>
      <c r="AE28" s="9">
        <v>0</v>
      </c>
      <c r="AF28" s="9">
        <v>1867849</v>
      </c>
      <c r="AG28" s="6">
        <v>1342934</v>
      </c>
      <c r="AH28" s="6">
        <v>425098</v>
      </c>
      <c r="AI28" s="6">
        <v>11682</v>
      </c>
      <c r="AJ28" s="6">
        <v>5549825</v>
      </c>
      <c r="AK28" s="6">
        <v>2266998</v>
      </c>
      <c r="AM28" s="6">
        <f t="shared" si="3"/>
        <v>122331</v>
      </c>
      <c r="AN28" s="6">
        <f t="shared" si="4"/>
        <v>-860410</v>
      </c>
      <c r="AO28" s="9">
        <f t="shared" si="5"/>
        <v>38888</v>
      </c>
      <c r="AP28" s="6">
        <f t="shared" si="6"/>
        <v>-375587</v>
      </c>
      <c r="AQ28" s="9">
        <f t="shared" si="7"/>
        <v>-435315</v>
      </c>
      <c r="AR28" s="6">
        <f t="shared" si="8"/>
        <v>2593512</v>
      </c>
      <c r="AS28" s="9">
        <f t="shared" si="9"/>
        <v>-4944157</v>
      </c>
      <c r="AT28" s="9">
        <f t="shared" si="10"/>
        <v>154942</v>
      </c>
      <c r="AU28" s="6">
        <f t="shared" si="11"/>
        <v>-11682</v>
      </c>
    </row>
    <row r="29" spans="1:47" x14ac:dyDescent="0.25">
      <c r="A29" t="s">
        <v>92</v>
      </c>
      <c r="B29">
        <v>36505</v>
      </c>
      <c r="C29" s="6">
        <f>VLOOKUP(B29,'ER Contributions'!A:D,4,FALSE)</f>
        <v>2152350</v>
      </c>
      <c r="D29" s="7">
        <f>VLOOKUP(B29,'ER Contributions'!A:D,3,FALSE)</f>
        <v>1.7244999999999999E-3</v>
      </c>
      <c r="E29" s="9">
        <f>VLOOKUP(B29,'75 - Summary Exhibit'!A:N,3,FALSE)</f>
        <v>40950824</v>
      </c>
      <c r="F29" s="9">
        <f>VLOOKUP(B29,'75 - Summary Exhibit'!A:N,4,FALSE)</f>
        <v>397578</v>
      </c>
      <c r="G29" s="9">
        <f>VLOOKUP(B29,'75 - Summary Exhibit'!A:N,5,FALSE)</f>
        <v>354616</v>
      </c>
      <c r="H29" s="9">
        <f>VLOOKUP(B29,'75 - Summary Exhibit'!A:N,6,FALSE)</f>
        <v>3278646</v>
      </c>
      <c r="I29" s="6">
        <f>VLOOKUP(B29,'75 - Summary Exhibit'!A:N,7,FALSE)</f>
        <v>1099596</v>
      </c>
      <c r="J29" s="6">
        <f>VLOOKUP(B29,'75 - Summary Exhibit'!A:N,8,FALSE)</f>
        <v>113315</v>
      </c>
      <c r="K29" s="6">
        <f>VLOOKUP(B29,'75 - Summary Exhibit'!A:N,9,FALSE)</f>
        <v>0</v>
      </c>
      <c r="L29" s="6">
        <f>VLOOKUP(B29,'75 - Summary Exhibit'!A:N,10,FALSE)</f>
        <v>18637684</v>
      </c>
      <c r="M29" s="6">
        <f>VLOOKUP(B29,'75 - Summary Exhibit'!A:N,11,FALSE)</f>
        <v>3220815</v>
      </c>
      <c r="N29" s="6">
        <f>VLOOKUP(B29,'75 - Summary Exhibit'!A:N,12,FALSE)</f>
        <v>-4566986</v>
      </c>
      <c r="O29" s="6">
        <f>VLOOKUP(B29,'75 - Summary Exhibit'!A:N,13,FALSE)</f>
        <v>-746980</v>
      </c>
      <c r="P29" s="6">
        <f t="shared" si="0"/>
        <v>-5313966</v>
      </c>
      <c r="Q29" s="6">
        <f>VLOOKUP(B29,'75- Deferred Amortization'!A:G,3,FALSE)</f>
        <v>-6041401</v>
      </c>
      <c r="R29" s="6">
        <f>VLOOKUP(B29,'75- Deferred Amortization'!A:G,4,FALSE)</f>
        <v>-4191440</v>
      </c>
      <c r="S29" s="6">
        <f>VLOOKUP(B29,'75- Deferred Amortization'!A:G,5,FALSE)</f>
        <v>-4323599</v>
      </c>
      <c r="T29" s="6">
        <f>VLOOKUP(B29,'75- Deferred Amortization'!A:G,6,FALSE)</f>
        <v>-2284938</v>
      </c>
      <c r="U29" s="6">
        <f>VLOOKUP(B29,'75- Deferred Amortization'!A:G,7,FALSE)</f>
        <v>0</v>
      </c>
      <c r="V29" s="6">
        <f t="shared" si="1"/>
        <v>-4</v>
      </c>
      <c r="W29" s="6">
        <f t="shared" si="2"/>
        <v>0</v>
      </c>
      <c r="X29">
        <v>2</v>
      </c>
      <c r="Z29" s="226">
        <f>VLOOKUP(B29,'Noncap Contr Alloc'!A:C,3,FALSE)</f>
        <v>311283</v>
      </c>
      <c r="AC29" s="9">
        <v>52217606</v>
      </c>
      <c r="AD29" s="9">
        <v>308285</v>
      </c>
      <c r="AE29" s="9">
        <v>0</v>
      </c>
      <c r="AF29" s="9">
        <v>4270951</v>
      </c>
      <c r="AG29" s="6">
        <v>128870</v>
      </c>
      <c r="AH29" s="6">
        <v>972013</v>
      </c>
      <c r="AI29" s="6">
        <v>26711</v>
      </c>
      <c r="AJ29" s="6">
        <v>12690013</v>
      </c>
      <c r="AK29" s="6">
        <v>4371560</v>
      </c>
      <c r="AM29" s="6">
        <f t="shared" si="3"/>
        <v>970726</v>
      </c>
      <c r="AN29" s="6">
        <f t="shared" si="4"/>
        <v>-1150745</v>
      </c>
      <c r="AO29" s="9">
        <f t="shared" si="5"/>
        <v>89293</v>
      </c>
      <c r="AP29" s="6">
        <f t="shared" si="6"/>
        <v>-858698</v>
      </c>
      <c r="AQ29" s="9">
        <f t="shared" si="7"/>
        <v>-992305</v>
      </c>
      <c r="AR29" s="6">
        <f t="shared" si="8"/>
        <v>5947671</v>
      </c>
      <c r="AS29" s="9">
        <f t="shared" si="9"/>
        <v>-11266782</v>
      </c>
      <c r="AT29" s="9">
        <f t="shared" si="10"/>
        <v>354616</v>
      </c>
      <c r="AU29" s="6">
        <f t="shared" si="11"/>
        <v>-26711</v>
      </c>
    </row>
    <row r="30" spans="1:47" x14ac:dyDescent="0.25">
      <c r="A30" t="s">
        <v>62</v>
      </c>
      <c r="B30">
        <v>31605</v>
      </c>
      <c r="C30" s="6">
        <f>VLOOKUP(B30,'ER Contributions'!A:D,4,FALSE)</f>
        <v>557700</v>
      </c>
      <c r="D30" s="7">
        <f>VLOOKUP(B30,'ER Contributions'!A:D,3,FALSE)</f>
        <v>4.2230000000000002E-4</v>
      </c>
      <c r="E30" s="9">
        <f>VLOOKUP(B30,'75 - Summary Exhibit'!A:N,3,FALSE)</f>
        <v>10027293</v>
      </c>
      <c r="F30" s="9">
        <f>VLOOKUP(B30,'75 - Summary Exhibit'!A:N,4,FALSE)</f>
        <v>97352</v>
      </c>
      <c r="G30" s="9">
        <f>VLOOKUP(B30,'75 - Summary Exhibit'!A:N,5,FALSE)</f>
        <v>86832</v>
      </c>
      <c r="H30" s="9">
        <f>VLOOKUP(B30,'75 - Summary Exhibit'!A:N,6,FALSE)</f>
        <v>802815</v>
      </c>
      <c r="I30" s="6">
        <f>VLOOKUP(B30,'75 - Summary Exhibit'!A:N,7,FALSE)</f>
        <v>627647</v>
      </c>
      <c r="J30" s="6">
        <f>VLOOKUP(B30,'75 - Summary Exhibit'!A:N,8,FALSE)</f>
        <v>27747</v>
      </c>
      <c r="K30" s="6">
        <f>VLOOKUP(B30,'75 - Summary Exhibit'!A:N,9,FALSE)</f>
        <v>0</v>
      </c>
      <c r="L30" s="6">
        <f>VLOOKUP(B30,'75 - Summary Exhibit'!A:N,10,FALSE)</f>
        <v>4563657</v>
      </c>
      <c r="M30" s="6">
        <f>VLOOKUP(B30,'75 - Summary Exhibit'!A:N,11,FALSE)</f>
        <v>58319</v>
      </c>
      <c r="N30" s="6">
        <f>VLOOKUP(B30,'75 - Summary Exhibit'!A:N,12,FALSE)</f>
        <v>-1118279</v>
      </c>
      <c r="O30" s="6">
        <f>VLOOKUP(B30,'75 - Summary Exhibit'!A:N,13,FALSE)</f>
        <v>226595</v>
      </c>
      <c r="P30" s="6">
        <f t="shared" si="0"/>
        <v>-891684</v>
      </c>
      <c r="Q30" s="6">
        <f>VLOOKUP(B30,'75- Deferred Amortization'!A:G,3,FALSE)</f>
        <v>-1120510</v>
      </c>
      <c r="R30" s="6">
        <f>VLOOKUP(B30,'75- Deferred Amortization'!A:G,4,FALSE)</f>
        <v>-682976</v>
      </c>
      <c r="S30" s="6">
        <f>VLOOKUP(B30,'75- Deferred Amortization'!A:G,5,FALSE)</f>
        <v>-776386</v>
      </c>
      <c r="T30" s="6">
        <f>VLOOKUP(B30,'75- Deferred Amortization'!A:G,6,FALSE)</f>
        <v>-455204</v>
      </c>
      <c r="U30" s="6">
        <f>VLOOKUP(B30,'75- Deferred Amortization'!A:G,7,FALSE)</f>
        <v>0</v>
      </c>
      <c r="V30" s="6">
        <f t="shared" si="1"/>
        <v>-7</v>
      </c>
      <c r="W30" s="6">
        <f t="shared" si="2"/>
        <v>-1</v>
      </c>
      <c r="X30">
        <v>2</v>
      </c>
      <c r="Z30" s="226">
        <f>VLOOKUP(B30,'Noncap Contr Alloc'!A:C,3,FALSE)</f>
        <v>76228</v>
      </c>
      <c r="AC30" s="9">
        <v>12875615</v>
      </c>
      <c r="AD30" s="9">
        <v>76016</v>
      </c>
      <c r="AE30" s="9">
        <v>0</v>
      </c>
      <c r="AF30" s="9">
        <v>1053114</v>
      </c>
      <c r="AG30" s="6">
        <v>622048</v>
      </c>
      <c r="AH30" s="6">
        <v>239675</v>
      </c>
      <c r="AI30" s="6">
        <v>6586</v>
      </c>
      <c r="AJ30" s="6">
        <v>3129054</v>
      </c>
      <c r="AK30" s="6">
        <v>88223</v>
      </c>
      <c r="AM30" s="6">
        <f t="shared" si="3"/>
        <v>5599</v>
      </c>
      <c r="AN30" s="6">
        <f t="shared" si="4"/>
        <v>-29904</v>
      </c>
      <c r="AO30" s="9">
        <f t="shared" si="5"/>
        <v>21336</v>
      </c>
      <c r="AP30" s="6">
        <f t="shared" si="6"/>
        <v>-211928</v>
      </c>
      <c r="AQ30" s="9">
        <f t="shared" si="7"/>
        <v>-250299</v>
      </c>
      <c r="AR30" s="6">
        <f t="shared" si="8"/>
        <v>1434603</v>
      </c>
      <c r="AS30" s="9">
        <f t="shared" si="9"/>
        <v>-2848322</v>
      </c>
      <c r="AT30" s="9">
        <f t="shared" si="10"/>
        <v>86832</v>
      </c>
      <c r="AU30" s="6">
        <f t="shared" si="11"/>
        <v>-6586</v>
      </c>
    </row>
    <row r="31" spans="1:47" x14ac:dyDescent="0.25">
      <c r="A31" t="s">
        <v>63</v>
      </c>
      <c r="B31">
        <v>31805</v>
      </c>
      <c r="C31" s="6">
        <f>VLOOKUP(B31,'ER Contributions'!A:D,4,FALSE)</f>
        <v>1458980</v>
      </c>
      <c r="D31" s="7">
        <f>VLOOKUP(B31,'ER Contributions'!A:D,3,FALSE)</f>
        <v>1.0972E-3</v>
      </c>
      <c r="E31" s="9">
        <f>VLOOKUP(B31,'75 - Summary Exhibit'!A:N,3,FALSE)</f>
        <v>26055920</v>
      </c>
      <c r="F31" s="9">
        <f>VLOOKUP(B31,'75 - Summary Exhibit'!A:N,4,FALSE)</f>
        <v>252969</v>
      </c>
      <c r="G31" s="9">
        <f>VLOOKUP(B31,'75 - Summary Exhibit'!A:N,5,FALSE)</f>
        <v>225633</v>
      </c>
      <c r="H31" s="9">
        <f>VLOOKUP(B31,'75 - Summary Exhibit'!A:N,6,FALSE)</f>
        <v>2086115</v>
      </c>
      <c r="I31" s="6">
        <f>VLOOKUP(B31,'75 - Summary Exhibit'!A:N,7,FALSE)</f>
        <v>3392011</v>
      </c>
      <c r="J31" s="6">
        <f>VLOOKUP(B31,'75 - Summary Exhibit'!A:N,8,FALSE)</f>
        <v>72099</v>
      </c>
      <c r="K31" s="6">
        <f>VLOOKUP(B31,'75 - Summary Exhibit'!A:N,9,FALSE)</f>
        <v>0</v>
      </c>
      <c r="L31" s="6">
        <f>VLOOKUP(B31,'75 - Summary Exhibit'!A:N,10,FALSE)</f>
        <v>11858663</v>
      </c>
      <c r="M31" s="6">
        <f>VLOOKUP(B31,'75 - Summary Exhibit'!A:N,11,FALSE)</f>
        <v>116310</v>
      </c>
      <c r="N31" s="6">
        <f>VLOOKUP(B31,'75 - Summary Exhibit'!A:N,12,FALSE)</f>
        <v>-2905852</v>
      </c>
      <c r="O31" s="6">
        <f>VLOOKUP(B31,'75 - Summary Exhibit'!A:N,13,FALSE)</f>
        <v>931224</v>
      </c>
      <c r="P31" s="6">
        <f t="shared" si="0"/>
        <v>-1974628</v>
      </c>
      <c r="Q31" s="6">
        <f>VLOOKUP(B31,'75- Deferred Amortization'!A:G,3,FALSE)</f>
        <v>-2244510</v>
      </c>
      <c r="R31" s="6">
        <f>VLOOKUP(B31,'75- Deferred Amortization'!A:G,4,FALSE)</f>
        <v>-1356668</v>
      </c>
      <c r="S31" s="6">
        <f>VLOOKUP(B31,'75- Deferred Amortization'!A:G,5,FALSE)</f>
        <v>-1761602</v>
      </c>
      <c r="T31" s="6">
        <f>VLOOKUP(B31,'75- Deferred Amortization'!A:G,6,FALSE)</f>
        <v>-727564</v>
      </c>
      <c r="U31" s="6">
        <f>VLOOKUP(B31,'75- Deferred Amortization'!A:G,7,FALSE)</f>
        <v>0</v>
      </c>
      <c r="V31" s="6">
        <f t="shared" si="1"/>
        <v>8</v>
      </c>
      <c r="W31" s="6">
        <f t="shared" si="2"/>
        <v>0</v>
      </c>
      <c r="X31">
        <v>2</v>
      </c>
      <c r="Z31" s="226">
        <f>VLOOKUP(B31,'Noncap Contr Alloc'!A:C,3,FALSE)</f>
        <v>198051</v>
      </c>
      <c r="AC31" s="9">
        <v>30884424</v>
      </c>
      <c r="AD31" s="9">
        <v>182337</v>
      </c>
      <c r="AE31" s="9">
        <v>0</v>
      </c>
      <c r="AF31" s="9">
        <v>2526080</v>
      </c>
      <c r="AG31" s="6">
        <v>755555</v>
      </c>
      <c r="AH31" s="6">
        <v>574903</v>
      </c>
      <c r="AI31" s="6">
        <v>15799</v>
      </c>
      <c r="AJ31" s="6">
        <v>7505586</v>
      </c>
      <c r="AK31" s="6">
        <v>261191</v>
      </c>
      <c r="AM31" s="6">
        <f t="shared" si="3"/>
        <v>2636456</v>
      </c>
      <c r="AN31" s="6">
        <f t="shared" si="4"/>
        <v>-144881</v>
      </c>
      <c r="AO31" s="9">
        <f t="shared" si="5"/>
        <v>70632</v>
      </c>
      <c r="AP31" s="6">
        <f t="shared" si="6"/>
        <v>-502804</v>
      </c>
      <c r="AQ31" s="9">
        <f t="shared" si="7"/>
        <v>-439965</v>
      </c>
      <c r="AR31" s="6">
        <f t="shared" si="8"/>
        <v>4353077</v>
      </c>
      <c r="AS31" s="9">
        <f t="shared" si="9"/>
        <v>-4828504</v>
      </c>
      <c r="AT31" s="9">
        <f t="shared" si="10"/>
        <v>225633</v>
      </c>
      <c r="AU31" s="6">
        <f t="shared" si="11"/>
        <v>-15799</v>
      </c>
    </row>
    <row r="32" spans="1:47" x14ac:dyDescent="0.25">
      <c r="A32" t="s">
        <v>83</v>
      </c>
      <c r="B32">
        <v>35305</v>
      </c>
      <c r="C32" s="6">
        <f>VLOOKUP(B32,'ER Contributions'!A:D,4,FALSE)</f>
        <v>1537170</v>
      </c>
      <c r="D32" s="7">
        <f>VLOOKUP(B32,'ER Contributions'!A:D,3,FALSE)</f>
        <v>1.3273E-3</v>
      </c>
      <c r="E32" s="9">
        <f>VLOOKUP(B32,'75 - Summary Exhibit'!A:N,3,FALSE)</f>
        <v>31518731</v>
      </c>
      <c r="F32" s="9">
        <f>VLOOKUP(B32,'75 - Summary Exhibit'!A:N,4,FALSE)</f>
        <v>306005</v>
      </c>
      <c r="G32" s="9">
        <f>VLOOKUP(B32,'75 - Summary Exhibit'!A:N,5,FALSE)</f>
        <v>272939</v>
      </c>
      <c r="H32" s="9">
        <f>VLOOKUP(B32,'75 - Summary Exhibit'!A:N,6,FALSE)</f>
        <v>2523484</v>
      </c>
      <c r="I32" s="6">
        <f>VLOOKUP(B32,'75 - Summary Exhibit'!A:N,7,FALSE)</f>
        <v>3113393</v>
      </c>
      <c r="J32" s="6">
        <f>VLOOKUP(B32,'75 - Summary Exhibit'!A:N,8,FALSE)</f>
        <v>87216</v>
      </c>
      <c r="K32" s="6">
        <f>VLOOKUP(B32,'75 - Summary Exhibit'!A:N,9,FALSE)</f>
        <v>0</v>
      </c>
      <c r="L32" s="6">
        <f>VLOOKUP(B32,'75 - Summary Exhibit'!A:N,10,FALSE)</f>
        <v>14344917</v>
      </c>
      <c r="M32" s="6">
        <f>VLOOKUP(B32,'75 - Summary Exhibit'!A:N,11,FALSE)</f>
        <v>619223</v>
      </c>
      <c r="N32" s="6">
        <f>VLOOKUP(B32,'75 - Summary Exhibit'!A:N,12,FALSE)</f>
        <v>-3515083</v>
      </c>
      <c r="O32" s="6">
        <f>VLOOKUP(B32,'75 - Summary Exhibit'!A:N,13,FALSE)</f>
        <v>476701</v>
      </c>
      <c r="P32" s="6">
        <f t="shared" si="0"/>
        <v>-3038382</v>
      </c>
      <c r="Q32" s="6">
        <f>VLOOKUP(B32,'75- Deferred Amortization'!A:G,3,FALSE)</f>
        <v>-3218488</v>
      </c>
      <c r="R32" s="6">
        <f>VLOOKUP(B32,'75- Deferred Amortization'!A:G,4,FALSE)</f>
        <v>-2126207</v>
      </c>
      <c r="S32" s="6">
        <f>VLOOKUP(B32,'75- Deferred Amortization'!A:G,5,FALSE)</f>
        <v>-2438956</v>
      </c>
      <c r="T32" s="6">
        <f>VLOOKUP(B32,'75- Deferred Amortization'!A:G,6,FALSE)</f>
        <v>-1051884</v>
      </c>
      <c r="U32" s="6">
        <f>VLOOKUP(B32,'75- Deferred Amortization'!A:G,7,FALSE)</f>
        <v>0</v>
      </c>
      <c r="V32" s="6">
        <f t="shared" si="1"/>
        <v>-3</v>
      </c>
      <c r="W32" s="6">
        <f t="shared" si="2"/>
        <v>0</v>
      </c>
      <c r="X32">
        <v>2</v>
      </c>
      <c r="Z32" s="226">
        <f>VLOOKUP(B32,'Noncap Contr Alloc'!A:C,3,FALSE)</f>
        <v>239586</v>
      </c>
      <c r="AC32" s="9">
        <v>39684162</v>
      </c>
      <c r="AD32" s="9">
        <v>234290</v>
      </c>
      <c r="AE32" s="9">
        <v>0</v>
      </c>
      <c r="AF32" s="9">
        <v>3245823</v>
      </c>
      <c r="AG32" s="6">
        <v>2567389</v>
      </c>
      <c r="AH32" s="6">
        <v>738707</v>
      </c>
      <c r="AI32" s="6">
        <v>20300</v>
      </c>
      <c r="AJ32" s="6">
        <v>9644114</v>
      </c>
      <c r="AK32" s="6">
        <v>1129620</v>
      </c>
      <c r="AM32" s="6">
        <f t="shared" si="3"/>
        <v>546004</v>
      </c>
      <c r="AN32" s="6">
        <f t="shared" si="4"/>
        <v>-510397</v>
      </c>
      <c r="AO32" s="9">
        <f t="shared" si="5"/>
        <v>71715</v>
      </c>
      <c r="AP32" s="6">
        <f t="shared" si="6"/>
        <v>-651491</v>
      </c>
      <c r="AQ32" s="9">
        <f t="shared" si="7"/>
        <v>-722339</v>
      </c>
      <c r="AR32" s="6">
        <f t="shared" si="8"/>
        <v>4700803</v>
      </c>
      <c r="AS32" s="9">
        <f t="shared" si="9"/>
        <v>-8165431</v>
      </c>
      <c r="AT32" s="9">
        <f t="shared" si="10"/>
        <v>272939</v>
      </c>
      <c r="AU32" s="6">
        <f t="shared" si="11"/>
        <v>-20300</v>
      </c>
    </row>
    <row r="33" spans="1:47" x14ac:dyDescent="0.25">
      <c r="A33" t="s">
        <v>87</v>
      </c>
      <c r="B33">
        <v>36005</v>
      </c>
      <c r="C33" s="6">
        <f>VLOOKUP(B33,'ER Contributions'!A:D,4,FALSE)</f>
        <v>4443454</v>
      </c>
      <c r="D33" s="7">
        <f>VLOOKUP(B33,'ER Contributions'!A:D,3,FALSE)</f>
        <v>3.7482000000000001E-3</v>
      </c>
      <c r="E33" s="9">
        <f>VLOOKUP(B33,'75 - Summary Exhibit'!A:N,3,FALSE)</f>
        <v>89008864</v>
      </c>
      <c r="F33" s="9">
        <f>VLOOKUP(B33,'75 - Summary Exhibit'!A:N,4,FALSE)</f>
        <v>864158</v>
      </c>
      <c r="G33" s="9">
        <f>VLOOKUP(B33,'75 - Summary Exhibit'!A:N,5,FALSE)</f>
        <v>770778</v>
      </c>
      <c r="H33" s="9">
        <f>VLOOKUP(B33,'75 - Summary Exhibit'!A:N,6,FALSE)</f>
        <v>7126316</v>
      </c>
      <c r="I33" s="6">
        <f>VLOOKUP(B33,'75 - Summary Exhibit'!A:N,7,FALSE)</f>
        <v>1215654</v>
      </c>
      <c r="J33" s="6">
        <f>VLOOKUP(B33,'75 - Summary Exhibit'!A:N,8,FALSE)</f>
        <v>246297</v>
      </c>
      <c r="K33" s="6">
        <f>VLOOKUP(B33,'75 - Summary Exhibit'!A:N,9,FALSE)</f>
        <v>0</v>
      </c>
      <c r="L33" s="6">
        <f>VLOOKUP(B33,'75 - Summary Exhibit'!A:N,10,FALSE)</f>
        <v>40510030</v>
      </c>
      <c r="M33" s="6">
        <f>VLOOKUP(B33,'75 - Summary Exhibit'!A:N,11,FALSE)</f>
        <v>12428308</v>
      </c>
      <c r="N33" s="6">
        <f>VLOOKUP(B33,'75 - Summary Exhibit'!A:N,12,FALSE)</f>
        <v>-9926598</v>
      </c>
      <c r="O33" s="6">
        <f>VLOOKUP(B33,'75 - Summary Exhibit'!A:N,13,FALSE)</f>
        <v>-4799203</v>
      </c>
      <c r="P33" s="6">
        <f t="shared" si="0"/>
        <v>-14725801</v>
      </c>
      <c r="Q33" s="6">
        <f>VLOOKUP(B33,'75- Deferred Amortization'!A:G,3,FALSE)</f>
        <v>-14073663</v>
      </c>
      <c r="R33" s="6">
        <f>VLOOKUP(B33,'75- Deferred Amortization'!A:G,4,FALSE)</f>
        <v>-11418694</v>
      </c>
      <c r="S33" s="6">
        <f>VLOOKUP(B33,'75- Deferred Amortization'!A:G,5,FALSE)</f>
        <v>-11195861</v>
      </c>
      <c r="T33" s="6">
        <f>VLOOKUP(B33,'75- Deferred Amortization'!A:G,6,FALSE)</f>
        <v>-6519511</v>
      </c>
      <c r="U33" s="6">
        <f>VLOOKUP(B33,'75- Deferred Amortization'!A:G,7,FALSE)</f>
        <v>0</v>
      </c>
      <c r="V33" s="6">
        <f t="shared" si="1"/>
        <v>6</v>
      </c>
      <c r="W33" s="6">
        <f t="shared" si="2"/>
        <v>0</v>
      </c>
      <c r="X33">
        <v>2</v>
      </c>
      <c r="Z33" s="226">
        <f>VLOOKUP(B33,'Noncap Contr Alloc'!A:C,3,FALSE)</f>
        <v>676573</v>
      </c>
      <c r="AC33" s="9">
        <v>120783848</v>
      </c>
      <c r="AD33" s="9">
        <v>713090</v>
      </c>
      <c r="AE33" s="9">
        <v>0</v>
      </c>
      <c r="AF33" s="9">
        <v>9879079</v>
      </c>
      <c r="AG33" s="6">
        <v>2431308</v>
      </c>
      <c r="AH33" s="6">
        <v>2248350</v>
      </c>
      <c r="AI33" s="6">
        <v>61786</v>
      </c>
      <c r="AJ33" s="6">
        <v>29353100</v>
      </c>
      <c r="AK33" s="6">
        <v>12638820</v>
      </c>
      <c r="AM33" s="6">
        <f t="shared" si="3"/>
        <v>-1215654</v>
      </c>
      <c r="AN33" s="6">
        <f t="shared" si="4"/>
        <v>-210512</v>
      </c>
      <c r="AO33" s="9">
        <f t="shared" si="5"/>
        <v>151068</v>
      </c>
      <c r="AP33" s="6">
        <f t="shared" si="6"/>
        <v>-2002053</v>
      </c>
      <c r="AQ33" s="9">
        <f t="shared" si="7"/>
        <v>-2752763</v>
      </c>
      <c r="AR33" s="6">
        <f t="shared" si="8"/>
        <v>11156930</v>
      </c>
      <c r="AS33" s="9">
        <f t="shared" si="9"/>
        <v>-31774984</v>
      </c>
      <c r="AT33" s="9">
        <f t="shared" si="10"/>
        <v>770778</v>
      </c>
      <c r="AU33" s="6">
        <f t="shared" si="11"/>
        <v>-61786</v>
      </c>
    </row>
    <row r="34" spans="1:47" x14ac:dyDescent="0.25">
      <c r="A34" t="s">
        <v>65</v>
      </c>
      <c r="B34">
        <v>32305</v>
      </c>
      <c r="C34" s="6">
        <f>VLOOKUP(B34,'ER Contributions'!A:D,4,FALSE)</f>
        <v>649994</v>
      </c>
      <c r="D34" s="7">
        <f>VLOOKUP(B34,'ER Contributions'!A:D,3,FALSE)</f>
        <v>5.3229999999999998E-4</v>
      </c>
      <c r="E34" s="9">
        <f>VLOOKUP(B34,'75 - Summary Exhibit'!A:N,3,FALSE)</f>
        <v>12641071</v>
      </c>
      <c r="F34" s="9">
        <f>VLOOKUP(B34,'75 - Summary Exhibit'!A:N,4,FALSE)</f>
        <v>122728</v>
      </c>
      <c r="G34" s="9">
        <f>VLOOKUP(B34,'75 - Summary Exhibit'!A:N,5,FALSE)</f>
        <v>109466</v>
      </c>
      <c r="H34" s="9">
        <f>VLOOKUP(B34,'75 - Summary Exhibit'!A:N,6,FALSE)</f>
        <v>1012082</v>
      </c>
      <c r="I34" s="6">
        <f>VLOOKUP(B34,'75 - Summary Exhibit'!A:N,7,FALSE)</f>
        <v>1013814</v>
      </c>
      <c r="J34" s="6">
        <f>VLOOKUP(B34,'75 - Summary Exhibit'!A:N,8,FALSE)</f>
        <v>34979</v>
      </c>
      <c r="K34" s="6">
        <f>VLOOKUP(B34,'75 - Summary Exhibit'!A:N,9,FALSE)</f>
        <v>0</v>
      </c>
      <c r="L34" s="6">
        <f>VLOOKUP(B34,'75 - Summary Exhibit'!A:N,10,FALSE)</f>
        <v>5753249</v>
      </c>
      <c r="M34" s="6">
        <f>VLOOKUP(B34,'75 - Summary Exhibit'!A:N,11,FALSE)</f>
        <v>904147</v>
      </c>
      <c r="N34" s="6">
        <f>VLOOKUP(B34,'75 - Summary Exhibit'!A:N,12,FALSE)</f>
        <v>-1409779</v>
      </c>
      <c r="O34" s="6">
        <f>VLOOKUP(B34,'75 - Summary Exhibit'!A:N,13,FALSE)</f>
        <v>-165642</v>
      </c>
      <c r="P34" s="6">
        <f t="shared" si="0"/>
        <v>-1575421</v>
      </c>
      <c r="Q34" s="6">
        <f>VLOOKUP(B34,'75- Deferred Amortization'!A:G,3,FALSE)</f>
        <v>-1718233</v>
      </c>
      <c r="R34" s="6">
        <f>VLOOKUP(B34,'75- Deferred Amortization'!A:G,4,FALSE)</f>
        <v>-935004</v>
      </c>
      <c r="S34" s="6">
        <f>VLOOKUP(B34,'75- Deferred Amortization'!A:G,5,FALSE)</f>
        <v>-1235368</v>
      </c>
      <c r="T34" s="6">
        <f>VLOOKUP(B34,'75- Deferred Amortization'!A:G,6,FALSE)</f>
        <v>-545680</v>
      </c>
      <c r="U34" s="6">
        <f>VLOOKUP(B34,'75- Deferred Amortization'!A:G,7,FALSE)</f>
        <v>0</v>
      </c>
      <c r="V34" s="6">
        <f t="shared" si="1"/>
        <v>6</v>
      </c>
      <c r="W34" s="6">
        <f t="shared" si="2"/>
        <v>0</v>
      </c>
      <c r="X34">
        <v>2</v>
      </c>
      <c r="Z34" s="226">
        <f>VLOOKUP(B34,'Noncap Contr Alloc'!A:C,3,FALSE)</f>
        <v>96083</v>
      </c>
      <c r="AC34" s="9">
        <v>15701421</v>
      </c>
      <c r="AD34" s="9">
        <v>92699</v>
      </c>
      <c r="AE34" s="9">
        <v>0</v>
      </c>
      <c r="AF34" s="9">
        <v>1284241</v>
      </c>
      <c r="AG34" s="6">
        <v>440349</v>
      </c>
      <c r="AH34" s="6">
        <v>292277</v>
      </c>
      <c r="AI34" s="6">
        <v>8032</v>
      </c>
      <c r="AJ34" s="6">
        <v>3815787</v>
      </c>
      <c r="AK34" s="6">
        <v>1396632</v>
      </c>
      <c r="AM34" s="6">
        <f t="shared" si="3"/>
        <v>573465</v>
      </c>
      <c r="AN34" s="6">
        <f t="shared" si="4"/>
        <v>-492485</v>
      </c>
      <c r="AO34" s="9">
        <f t="shared" si="5"/>
        <v>30029</v>
      </c>
      <c r="AP34" s="6">
        <f t="shared" si="6"/>
        <v>-257298</v>
      </c>
      <c r="AQ34" s="9">
        <f t="shared" si="7"/>
        <v>-272159</v>
      </c>
      <c r="AR34" s="6">
        <f t="shared" si="8"/>
        <v>1937462</v>
      </c>
      <c r="AS34" s="9">
        <f t="shared" si="9"/>
        <v>-3060350</v>
      </c>
      <c r="AT34" s="9">
        <f t="shared" si="10"/>
        <v>109466</v>
      </c>
      <c r="AU34" s="6">
        <f t="shared" si="11"/>
        <v>-8032</v>
      </c>
    </row>
    <row r="35" spans="1:47" x14ac:dyDescent="0.25">
      <c r="A35" t="s">
        <v>93</v>
      </c>
      <c r="B35">
        <v>36705</v>
      </c>
      <c r="C35" s="6">
        <f>VLOOKUP(B35,'ER Contributions'!A:D,4,FALSE)</f>
        <v>1177746</v>
      </c>
      <c r="D35" s="7">
        <f>VLOOKUP(B35,'ER Contributions'!A:D,3,FALSE)</f>
        <v>9.2719999999999999E-4</v>
      </c>
      <c r="E35" s="9">
        <f>VLOOKUP(B35,'75 - Summary Exhibit'!A:N,3,FALSE)</f>
        <v>22019014</v>
      </c>
      <c r="F35" s="9">
        <f>VLOOKUP(B35,'75 - Summary Exhibit'!A:N,4,FALSE)</f>
        <v>213776</v>
      </c>
      <c r="G35" s="9">
        <f>VLOOKUP(B35,'75 - Summary Exhibit'!A:N,5,FALSE)</f>
        <v>190675</v>
      </c>
      <c r="H35" s="9">
        <f>VLOOKUP(B35,'75 - Summary Exhibit'!A:N,6,FALSE)</f>
        <v>1762908</v>
      </c>
      <c r="I35" s="6">
        <f>VLOOKUP(B35,'75 - Summary Exhibit'!A:N,7,FALSE)</f>
        <v>2762833</v>
      </c>
      <c r="J35" s="6">
        <f>VLOOKUP(B35,'75 - Summary Exhibit'!A:N,8,FALSE)</f>
        <v>60929</v>
      </c>
      <c r="K35" s="6">
        <f>VLOOKUP(B35,'75 - Summary Exhibit'!A:N,9,FALSE)</f>
        <v>0</v>
      </c>
      <c r="L35" s="6">
        <f>VLOOKUP(B35,'75 - Summary Exhibit'!A:N,10,FALSE)</f>
        <v>10021372</v>
      </c>
      <c r="M35" s="6">
        <f>VLOOKUP(B35,'75 - Summary Exhibit'!A:N,11,FALSE)</f>
        <v>2655676</v>
      </c>
      <c r="N35" s="6">
        <f>VLOOKUP(B35,'75 - Summary Exhibit'!A:N,12,FALSE)</f>
        <v>-2455641</v>
      </c>
      <c r="O35" s="6">
        <f>VLOOKUP(B35,'75 - Summary Exhibit'!A:N,13,FALSE)</f>
        <v>63581</v>
      </c>
      <c r="P35" s="6">
        <f t="shared" ref="P35:P66" si="12">N35+O35</f>
        <v>-2392060</v>
      </c>
      <c r="Q35" s="6">
        <f>VLOOKUP(B35,'75- Deferred Amortization'!A:G,3,FALSE)</f>
        <v>-2467265</v>
      </c>
      <c r="R35" s="6">
        <f>VLOOKUP(B35,'75- Deferred Amortization'!A:G,4,FALSE)</f>
        <v>-2112619</v>
      </c>
      <c r="S35" s="6">
        <f>VLOOKUP(B35,'75- Deferred Amortization'!A:G,5,FALSE)</f>
        <v>-2178306</v>
      </c>
      <c r="T35" s="6">
        <f>VLOOKUP(B35,'75- Deferred Amortization'!A:G,6,FALSE)</f>
        <v>-1049594</v>
      </c>
      <c r="U35" s="6">
        <f>VLOOKUP(B35,'75- Deferred Amortization'!A:G,7,FALSE)</f>
        <v>0</v>
      </c>
      <c r="V35" s="6">
        <f t="shared" si="1"/>
        <v>7</v>
      </c>
      <c r="W35" s="6">
        <f t="shared" si="2"/>
        <v>-1</v>
      </c>
      <c r="X35">
        <v>2</v>
      </c>
      <c r="Z35" s="226">
        <f>VLOOKUP(B35,'Noncap Contr Alloc'!A:C,3,FALSE)</f>
        <v>167365</v>
      </c>
      <c r="AC35" s="9">
        <v>26424869</v>
      </c>
      <c r="AD35" s="9">
        <v>156009</v>
      </c>
      <c r="AE35" s="9">
        <v>0</v>
      </c>
      <c r="AF35" s="9">
        <v>2161327</v>
      </c>
      <c r="AG35" s="6">
        <v>1205738</v>
      </c>
      <c r="AH35" s="6">
        <v>491890</v>
      </c>
      <c r="AI35" s="6">
        <v>13517</v>
      </c>
      <c r="AJ35" s="6">
        <v>6421817</v>
      </c>
      <c r="AK35" s="6">
        <v>3734958</v>
      </c>
      <c r="AM35" s="6">
        <f t="shared" si="3"/>
        <v>1557095</v>
      </c>
      <c r="AN35" s="6">
        <f t="shared" si="4"/>
        <v>-1079282</v>
      </c>
      <c r="AO35" s="9">
        <f t="shared" si="5"/>
        <v>57767</v>
      </c>
      <c r="AP35" s="6">
        <f t="shared" si="6"/>
        <v>-430961</v>
      </c>
      <c r="AQ35" s="9">
        <f t="shared" si="7"/>
        <v>-398419</v>
      </c>
      <c r="AR35" s="6">
        <f t="shared" si="8"/>
        <v>3599555</v>
      </c>
      <c r="AS35" s="9">
        <f t="shared" si="9"/>
        <v>-4405855</v>
      </c>
      <c r="AT35" s="9">
        <f t="shared" si="10"/>
        <v>190675</v>
      </c>
      <c r="AU35" s="6">
        <f t="shared" si="11"/>
        <v>-13517</v>
      </c>
    </row>
    <row r="36" spans="1:47" x14ac:dyDescent="0.25">
      <c r="A36" t="s">
        <v>95</v>
      </c>
      <c r="B36">
        <v>37005</v>
      </c>
      <c r="C36" s="6">
        <f>VLOOKUP(B36,'ER Contributions'!A:D,4,FALSE)</f>
        <v>647781</v>
      </c>
      <c r="D36" s="7">
        <f>VLOOKUP(B36,'ER Contributions'!A:D,3,FALSE)</f>
        <v>4.8440000000000001E-4</v>
      </c>
      <c r="E36" s="9">
        <f>VLOOKUP(B36,'75 - Summary Exhibit'!A:N,3,FALSE)</f>
        <v>11501975</v>
      </c>
      <c r="F36" s="9">
        <f>VLOOKUP(B36,'75 - Summary Exhibit'!A:N,4,FALSE)</f>
        <v>111669</v>
      </c>
      <c r="G36" s="9">
        <f>VLOOKUP(B36,'75 - Summary Exhibit'!A:N,5,FALSE)</f>
        <v>99602</v>
      </c>
      <c r="H36" s="9">
        <f>VLOOKUP(B36,'75 - Summary Exhibit'!A:N,6,FALSE)</f>
        <v>920883</v>
      </c>
      <c r="I36" s="6">
        <f>VLOOKUP(B36,'75 - Summary Exhibit'!A:N,7,FALSE)</f>
        <v>1555229</v>
      </c>
      <c r="J36" s="6">
        <f>VLOOKUP(B36,'75 - Summary Exhibit'!A:N,8,FALSE)</f>
        <v>31827</v>
      </c>
      <c r="K36" s="6">
        <f>VLOOKUP(B36,'75 - Summary Exhibit'!A:N,9,FALSE)</f>
        <v>0</v>
      </c>
      <c r="L36" s="6">
        <f>VLOOKUP(B36,'75 - Summary Exhibit'!A:N,10,FALSE)</f>
        <v>5234820</v>
      </c>
      <c r="M36" s="6">
        <f>VLOOKUP(B36,'75 - Summary Exhibit'!A:N,11,FALSE)</f>
        <v>225536</v>
      </c>
      <c r="N36" s="6">
        <f>VLOOKUP(B36,'75 - Summary Exhibit'!A:N,12,FALSE)</f>
        <v>-1282743</v>
      </c>
      <c r="O36" s="6">
        <f>VLOOKUP(B36,'75 - Summary Exhibit'!A:N,13,FALSE)</f>
        <v>216210</v>
      </c>
      <c r="P36" s="6">
        <f t="shared" si="12"/>
        <v>-1066533</v>
      </c>
      <c r="Q36" s="6">
        <f>VLOOKUP(B36,'75- Deferred Amortization'!A:G,3,FALSE)</f>
        <v>-1133155</v>
      </c>
      <c r="R36" s="6">
        <f>VLOOKUP(B36,'75- Deferred Amortization'!A:G,4,FALSE)</f>
        <v>-647673</v>
      </c>
      <c r="S36" s="6">
        <f>VLOOKUP(B36,'75- Deferred Amortization'!A:G,5,FALSE)</f>
        <v>-674647</v>
      </c>
      <c r="T36" s="6">
        <f>VLOOKUP(B36,'75- Deferred Amortization'!A:G,6,FALSE)</f>
        <v>-349325</v>
      </c>
      <c r="U36" s="6">
        <f>VLOOKUP(B36,'75- Deferred Amortization'!A:G,7,FALSE)</f>
        <v>0</v>
      </c>
      <c r="V36" s="6">
        <f t="shared" ref="V36:V67" si="13">ROUND(((F36-AD36)+(G36-AE36)+(H36-AF36)+(I36-AG36)+(AI36-K36)+P36-(E36-AC36)-(J36-AH36)-(L36-AJ36)-(M36-AK36)-C36),0)-Z36</f>
        <v>-9</v>
      </c>
      <c r="W36" s="6">
        <f t="shared" ref="W36:W67" si="14">ROUND((F36+G36+H36+I36-J36-K36-L36-M36-Q36-R36-S36-T36-U36),0)</f>
        <v>0</v>
      </c>
      <c r="X36">
        <v>2</v>
      </c>
      <c r="Z36" s="226">
        <f>VLOOKUP(B36,'Noncap Contr Alloc'!A:C,3,FALSE)</f>
        <v>87437</v>
      </c>
      <c r="AC36" s="9">
        <v>14965543</v>
      </c>
      <c r="AD36" s="9">
        <v>88354</v>
      </c>
      <c r="AE36" s="9">
        <v>0</v>
      </c>
      <c r="AF36" s="9">
        <v>1224053</v>
      </c>
      <c r="AG36" s="6">
        <v>1907606</v>
      </c>
      <c r="AH36" s="6">
        <v>278578</v>
      </c>
      <c r="AI36" s="6">
        <v>7655</v>
      </c>
      <c r="AJ36" s="6">
        <v>3636952</v>
      </c>
      <c r="AK36" s="6">
        <v>439802</v>
      </c>
      <c r="AM36" s="6">
        <f t="shared" ref="AM36:AM67" si="15">I36-AG36</f>
        <v>-352377</v>
      </c>
      <c r="AN36" s="6">
        <f t="shared" ref="AN36:AN67" si="16">M36-AK36</f>
        <v>-214266</v>
      </c>
      <c r="AO36" s="9">
        <f t="shared" ref="AO36:AO67" si="17">F36-AD36</f>
        <v>23315</v>
      </c>
      <c r="AP36" s="6">
        <f t="shared" ref="AP36:AP67" si="18">J36-AH36</f>
        <v>-246751</v>
      </c>
      <c r="AQ36" s="9">
        <f t="shared" ref="AQ36:AQ67" si="19">H36-AF36</f>
        <v>-303170</v>
      </c>
      <c r="AR36" s="6">
        <f t="shared" ref="AR36:AR67" si="20">L36-AJ36</f>
        <v>1597868</v>
      </c>
      <c r="AS36" s="9">
        <f t="shared" ref="AS36:AS67" si="21">E36-AC36</f>
        <v>-3463568</v>
      </c>
      <c r="AT36" s="9">
        <f t="shared" ref="AT36:AT67" si="22">G36-AE36</f>
        <v>99602</v>
      </c>
      <c r="AU36" s="6">
        <f t="shared" ref="AU36:AU67" si="23">K36-AI36</f>
        <v>-7655</v>
      </c>
    </row>
    <row r="37" spans="1:47" x14ac:dyDescent="0.25">
      <c r="A37" t="s">
        <v>67</v>
      </c>
      <c r="B37">
        <v>32505</v>
      </c>
      <c r="C37" s="6">
        <f>VLOOKUP(B37,'ER Contributions'!A:D,4,FALSE)</f>
        <v>793374</v>
      </c>
      <c r="D37" s="7">
        <f>VLOOKUP(B37,'ER Contributions'!A:D,3,FALSE)</f>
        <v>6.4179999999999999E-4</v>
      </c>
      <c r="E37" s="9">
        <f>VLOOKUP(B37,'75 - Summary Exhibit'!A:N,3,FALSE)</f>
        <v>15239951</v>
      </c>
      <c r="F37" s="9">
        <f>VLOOKUP(B37,'75 - Summary Exhibit'!A:N,4,FALSE)</f>
        <v>147960</v>
      </c>
      <c r="G37" s="9">
        <f>VLOOKUP(B37,'75 - Summary Exhibit'!A:N,5,FALSE)</f>
        <v>131971</v>
      </c>
      <c r="H37" s="9">
        <f>VLOOKUP(B37,'75 - Summary Exhibit'!A:N,6,FALSE)</f>
        <v>1220156</v>
      </c>
      <c r="I37" s="6">
        <f>VLOOKUP(B37,'75 - Summary Exhibit'!A:N,7,FALSE)</f>
        <v>1578185</v>
      </c>
      <c r="J37" s="6">
        <f>VLOOKUP(B37,'75 - Summary Exhibit'!A:N,8,FALSE)</f>
        <v>42171</v>
      </c>
      <c r="K37" s="6">
        <f>VLOOKUP(B37,'75 - Summary Exhibit'!A:N,9,FALSE)</f>
        <v>0</v>
      </c>
      <c r="L37" s="6">
        <f>VLOOKUP(B37,'75 - Summary Exhibit'!A:N,10,FALSE)</f>
        <v>6936060</v>
      </c>
      <c r="M37" s="6">
        <f>VLOOKUP(B37,'75 - Summary Exhibit'!A:N,11,FALSE)</f>
        <v>995331</v>
      </c>
      <c r="N37" s="6">
        <f>VLOOKUP(B37,'75 - Summary Exhibit'!A:N,12,FALSE)</f>
        <v>-1699616</v>
      </c>
      <c r="O37" s="6">
        <f>VLOOKUP(B37,'75 - Summary Exhibit'!A:N,13,FALSE)</f>
        <v>36008</v>
      </c>
      <c r="P37" s="6">
        <f t="shared" si="12"/>
        <v>-1663608</v>
      </c>
      <c r="Q37" s="6">
        <f>VLOOKUP(B37,'75- Deferred Amortization'!A:G,3,FALSE)</f>
        <v>-1645833</v>
      </c>
      <c r="R37" s="6">
        <f>VLOOKUP(B37,'75- Deferred Amortization'!A:G,4,FALSE)</f>
        <v>-1435528</v>
      </c>
      <c r="S37" s="6">
        <f>VLOOKUP(B37,'75- Deferred Amortization'!A:G,5,FALSE)</f>
        <v>-1244061</v>
      </c>
      <c r="T37" s="6">
        <f>VLOOKUP(B37,'75- Deferred Amortization'!A:G,6,FALSE)</f>
        <v>-569867</v>
      </c>
      <c r="U37" s="6">
        <f>VLOOKUP(B37,'75- Deferred Amortization'!A:G,7,FALSE)</f>
        <v>0</v>
      </c>
      <c r="V37" s="6">
        <f t="shared" si="13"/>
        <v>-8</v>
      </c>
      <c r="W37" s="6">
        <f t="shared" si="14"/>
        <v>-1</v>
      </c>
      <c r="X37">
        <v>2</v>
      </c>
      <c r="Z37" s="226">
        <f>VLOOKUP(B37,'Noncap Contr Alloc'!A:C,3,FALSE)</f>
        <v>115849</v>
      </c>
      <c r="AC37" s="9">
        <v>19358890</v>
      </c>
      <c r="AD37" s="9">
        <v>114292</v>
      </c>
      <c r="AE37" s="9">
        <v>0</v>
      </c>
      <c r="AF37" s="9">
        <v>1583391</v>
      </c>
      <c r="AG37" s="6">
        <v>1721219</v>
      </c>
      <c r="AH37" s="6">
        <v>360359</v>
      </c>
      <c r="AI37" s="6">
        <v>9903</v>
      </c>
      <c r="AJ37" s="6">
        <v>4704631</v>
      </c>
      <c r="AK37" s="6">
        <v>1693183</v>
      </c>
      <c r="AM37" s="6">
        <f t="shared" si="15"/>
        <v>-143034</v>
      </c>
      <c r="AN37" s="6">
        <f t="shared" si="16"/>
        <v>-697852</v>
      </c>
      <c r="AO37" s="9">
        <f t="shared" si="17"/>
        <v>33668</v>
      </c>
      <c r="AP37" s="6">
        <f t="shared" si="18"/>
        <v>-318188</v>
      </c>
      <c r="AQ37" s="9">
        <f t="shared" si="19"/>
        <v>-363235</v>
      </c>
      <c r="AR37" s="6">
        <f t="shared" si="20"/>
        <v>2231429</v>
      </c>
      <c r="AS37" s="9">
        <f t="shared" si="21"/>
        <v>-4118939</v>
      </c>
      <c r="AT37" s="9">
        <f t="shared" si="22"/>
        <v>131971</v>
      </c>
      <c r="AU37" s="6">
        <f t="shared" si="23"/>
        <v>-9903</v>
      </c>
    </row>
    <row r="38" spans="1:47" x14ac:dyDescent="0.25">
      <c r="A38" t="s">
        <v>69</v>
      </c>
      <c r="B38">
        <v>32905</v>
      </c>
      <c r="C38" s="6">
        <f>VLOOKUP(B38,'ER Contributions'!A:D,4,FALSE)</f>
        <v>932801</v>
      </c>
      <c r="D38" s="7">
        <f>VLOOKUP(B38,'ER Contributions'!A:D,3,FALSE)</f>
        <v>7.7039999999999997E-4</v>
      </c>
      <c r="E38" s="9">
        <f>VLOOKUP(B38,'75 - Summary Exhibit'!A:N,3,FALSE)</f>
        <v>18293537</v>
      </c>
      <c r="F38" s="9">
        <f>VLOOKUP(B38,'75 - Summary Exhibit'!A:N,4,FALSE)</f>
        <v>177606</v>
      </c>
      <c r="G38" s="9">
        <f>VLOOKUP(B38,'75 - Summary Exhibit'!A:N,5,FALSE)</f>
        <v>158414</v>
      </c>
      <c r="H38" s="9">
        <f>VLOOKUP(B38,'75 - Summary Exhibit'!A:N,6,FALSE)</f>
        <v>1464635</v>
      </c>
      <c r="I38" s="6">
        <f>VLOOKUP(B38,'75 - Summary Exhibit'!A:N,7,FALSE)</f>
        <v>955876</v>
      </c>
      <c r="J38" s="6">
        <f>VLOOKUP(B38,'75 - Summary Exhibit'!A:N,8,FALSE)</f>
        <v>50620</v>
      </c>
      <c r="K38" s="6">
        <f>VLOOKUP(B38,'75 - Summary Exhibit'!A:N,9,FALSE)</f>
        <v>0</v>
      </c>
      <c r="L38" s="6">
        <f>VLOOKUP(B38,'75 - Summary Exhibit'!A:N,10,FALSE)</f>
        <v>8325819</v>
      </c>
      <c r="M38" s="6">
        <f>VLOOKUP(B38,'75 - Summary Exhibit'!A:N,11,FALSE)</f>
        <v>822500</v>
      </c>
      <c r="N38" s="6">
        <f>VLOOKUP(B38,'75 - Summary Exhibit'!A:N,12,FALSE)</f>
        <v>-2040163</v>
      </c>
      <c r="O38" s="6">
        <f>VLOOKUP(B38,'75 - Summary Exhibit'!A:N,13,FALSE)</f>
        <v>-383984</v>
      </c>
      <c r="P38" s="6">
        <f t="shared" si="12"/>
        <v>-2424147</v>
      </c>
      <c r="Q38" s="6">
        <f>VLOOKUP(B38,'75- Deferred Amortization'!A:G,3,FALSE)</f>
        <v>-2404277</v>
      </c>
      <c r="R38" s="6">
        <f>VLOOKUP(B38,'75- Deferred Amortization'!A:G,4,FALSE)</f>
        <v>-1703967</v>
      </c>
      <c r="S38" s="6">
        <f>VLOOKUP(B38,'75- Deferred Amortization'!A:G,5,FALSE)</f>
        <v>-1514972</v>
      </c>
      <c r="T38" s="6">
        <f>VLOOKUP(B38,'75- Deferred Amortization'!A:G,6,FALSE)</f>
        <v>-819192</v>
      </c>
      <c r="U38" s="6">
        <f>VLOOKUP(B38,'75- Deferred Amortization'!A:G,7,FALSE)</f>
        <v>0</v>
      </c>
      <c r="V38" s="6">
        <f t="shared" si="13"/>
        <v>-9</v>
      </c>
      <c r="W38" s="6">
        <f t="shared" si="14"/>
        <v>0</v>
      </c>
      <c r="X38">
        <v>2</v>
      </c>
      <c r="Z38" s="226">
        <f>VLOOKUP(B38,'Noncap Contr Alloc'!A:C,3,FALSE)</f>
        <v>139062</v>
      </c>
      <c r="AC38" s="9">
        <v>23295373</v>
      </c>
      <c r="AD38" s="9">
        <v>137533</v>
      </c>
      <c r="AE38" s="9">
        <v>0</v>
      </c>
      <c r="AF38" s="9">
        <v>1905361</v>
      </c>
      <c r="AG38" s="6">
        <v>648379</v>
      </c>
      <c r="AH38" s="6">
        <v>433635</v>
      </c>
      <c r="AI38" s="6">
        <v>11917</v>
      </c>
      <c r="AJ38" s="6">
        <v>5661282</v>
      </c>
      <c r="AK38" s="6">
        <v>1521012</v>
      </c>
      <c r="AM38" s="6">
        <f t="shared" si="15"/>
        <v>307497</v>
      </c>
      <c r="AN38" s="6">
        <f t="shared" si="16"/>
        <v>-698512</v>
      </c>
      <c r="AO38" s="9">
        <f t="shared" si="17"/>
        <v>40073</v>
      </c>
      <c r="AP38" s="6">
        <f t="shared" si="18"/>
        <v>-383015</v>
      </c>
      <c r="AQ38" s="9">
        <f t="shared" si="19"/>
        <v>-440726</v>
      </c>
      <c r="AR38" s="6">
        <f t="shared" si="20"/>
        <v>2664537</v>
      </c>
      <c r="AS38" s="9">
        <f t="shared" si="21"/>
        <v>-5001836</v>
      </c>
      <c r="AT38" s="9">
        <f t="shared" si="22"/>
        <v>158414</v>
      </c>
      <c r="AU38" s="6">
        <f t="shared" si="23"/>
        <v>-11917</v>
      </c>
    </row>
    <row r="39" spans="1:47" x14ac:dyDescent="0.25">
      <c r="A39" t="s">
        <v>71</v>
      </c>
      <c r="B39">
        <v>33205</v>
      </c>
      <c r="C39" s="6">
        <f>VLOOKUP(B39,'ER Contributions'!A:D,4,FALSE)</f>
        <v>1405393</v>
      </c>
      <c r="D39" s="7">
        <f>VLOOKUP(B39,'ER Contributions'!A:D,3,FALSE)</f>
        <v>1.1188000000000001E-3</v>
      </c>
      <c r="E39" s="9">
        <f>VLOOKUP(B39,'75 - Summary Exhibit'!A:N,3,FALSE)</f>
        <v>26568491</v>
      </c>
      <c r="F39" s="9">
        <f>VLOOKUP(B39,'75 - Summary Exhibit'!A:N,4,FALSE)</f>
        <v>257945</v>
      </c>
      <c r="G39" s="9">
        <f>VLOOKUP(B39,'75 - Summary Exhibit'!A:N,5,FALSE)</f>
        <v>230072</v>
      </c>
      <c r="H39" s="9">
        <f>VLOOKUP(B39,'75 - Summary Exhibit'!A:N,6,FALSE)</f>
        <v>2127153</v>
      </c>
      <c r="I39" s="6">
        <f>VLOOKUP(B39,'75 - Summary Exhibit'!A:N,7,FALSE)</f>
        <v>3989346</v>
      </c>
      <c r="J39" s="6">
        <f>VLOOKUP(B39,'75 - Summary Exhibit'!A:N,8,FALSE)</f>
        <v>73518</v>
      </c>
      <c r="K39" s="6">
        <f>VLOOKUP(B39,'75 - Summary Exhibit'!A:N,9,FALSE)</f>
        <v>0</v>
      </c>
      <c r="L39" s="6">
        <f>VLOOKUP(B39,'75 - Summary Exhibit'!A:N,10,FALSE)</f>
        <v>12091946</v>
      </c>
      <c r="M39" s="6">
        <f>VLOOKUP(B39,'75 - Summary Exhibit'!A:N,11,FALSE)</f>
        <v>1783531</v>
      </c>
      <c r="N39" s="6">
        <f>VLOOKUP(B39,'75 - Summary Exhibit'!A:N,12,FALSE)</f>
        <v>-2963018</v>
      </c>
      <c r="O39" s="6">
        <f>VLOOKUP(B39,'75 - Summary Exhibit'!A:N,13,FALSE)</f>
        <v>62454</v>
      </c>
      <c r="P39" s="6">
        <f t="shared" si="12"/>
        <v>-2900564</v>
      </c>
      <c r="Q39" s="6">
        <f>VLOOKUP(B39,'75- Deferred Amortization'!A:G,3,FALSE)</f>
        <v>-3014058</v>
      </c>
      <c r="R39" s="6">
        <f>VLOOKUP(B39,'75- Deferred Amortization'!A:G,4,FALSE)</f>
        <v>-1941512</v>
      </c>
      <c r="S39" s="6">
        <f>VLOOKUP(B39,'75- Deferred Amortization'!A:G,5,FALSE)</f>
        <v>-1881418</v>
      </c>
      <c r="T39" s="6">
        <f>VLOOKUP(B39,'75- Deferred Amortization'!A:G,6,FALSE)</f>
        <v>-507491</v>
      </c>
      <c r="U39" s="6">
        <f>VLOOKUP(B39,'75- Deferred Amortization'!A:G,7,FALSE)</f>
        <v>0</v>
      </c>
      <c r="V39" s="6">
        <f t="shared" si="13"/>
        <v>2</v>
      </c>
      <c r="W39" s="6">
        <f t="shared" si="14"/>
        <v>0</v>
      </c>
      <c r="X39">
        <v>2</v>
      </c>
      <c r="Z39" s="226">
        <f>VLOOKUP(B39,'Noncap Contr Alloc'!A:C,3,FALSE)</f>
        <v>201950</v>
      </c>
      <c r="AC39" s="9">
        <v>33206757</v>
      </c>
      <c r="AD39" s="9">
        <v>196048</v>
      </c>
      <c r="AE39" s="9">
        <v>0</v>
      </c>
      <c r="AF39" s="9">
        <v>2716027</v>
      </c>
      <c r="AG39" s="6">
        <v>3359402</v>
      </c>
      <c r="AH39" s="6">
        <v>618132</v>
      </c>
      <c r="AI39" s="6">
        <v>16987</v>
      </c>
      <c r="AJ39" s="6">
        <v>8069964</v>
      </c>
      <c r="AK39" s="6">
        <v>2780516</v>
      </c>
      <c r="AM39" s="6">
        <f t="shared" si="15"/>
        <v>629944</v>
      </c>
      <c r="AN39" s="6">
        <f t="shared" si="16"/>
        <v>-996985</v>
      </c>
      <c r="AO39" s="9">
        <f t="shared" si="17"/>
        <v>61897</v>
      </c>
      <c r="AP39" s="6">
        <f t="shared" si="18"/>
        <v>-544614</v>
      </c>
      <c r="AQ39" s="9">
        <f t="shared" si="19"/>
        <v>-588874</v>
      </c>
      <c r="AR39" s="6">
        <f t="shared" si="20"/>
        <v>4021982</v>
      </c>
      <c r="AS39" s="9">
        <f t="shared" si="21"/>
        <v>-6638266</v>
      </c>
      <c r="AT39" s="9">
        <f t="shared" si="22"/>
        <v>230072</v>
      </c>
      <c r="AU39" s="6">
        <f t="shared" si="23"/>
        <v>-16987</v>
      </c>
    </row>
    <row r="40" spans="1:47" x14ac:dyDescent="0.25">
      <c r="A40" t="s">
        <v>72</v>
      </c>
      <c r="B40">
        <v>33305</v>
      </c>
      <c r="C40" s="6">
        <f>VLOOKUP(B40,'ER Contributions'!A:D,4,FALSE)</f>
        <v>509696</v>
      </c>
      <c r="D40" s="7">
        <f>VLOOKUP(B40,'ER Contributions'!A:D,3,FALSE)</f>
        <v>3.5550000000000002E-4</v>
      </c>
      <c r="E40" s="9">
        <f>VLOOKUP(B40,'75 - Summary Exhibit'!A:N,3,FALSE)</f>
        <v>8442037</v>
      </c>
      <c r="F40" s="9">
        <f>VLOOKUP(B40,'75 - Summary Exhibit'!A:N,4,FALSE)</f>
        <v>81961</v>
      </c>
      <c r="G40" s="9">
        <f>VLOOKUP(B40,'75 - Summary Exhibit'!A:N,5,FALSE)</f>
        <v>73104</v>
      </c>
      <c r="H40" s="9">
        <f>VLOOKUP(B40,'75 - Summary Exhibit'!A:N,6,FALSE)</f>
        <v>675895</v>
      </c>
      <c r="I40" s="6">
        <f>VLOOKUP(B40,'75 - Summary Exhibit'!A:N,7,FALSE)</f>
        <v>0</v>
      </c>
      <c r="J40" s="6">
        <f>VLOOKUP(B40,'75 - Summary Exhibit'!A:N,8,FALSE)</f>
        <v>23360</v>
      </c>
      <c r="K40" s="6">
        <f>VLOOKUP(B40,'75 - Summary Exhibit'!A:N,9,FALSE)</f>
        <v>0</v>
      </c>
      <c r="L40" s="6">
        <f>VLOOKUP(B40,'75 - Summary Exhibit'!A:N,10,FALSE)</f>
        <v>3842170</v>
      </c>
      <c r="M40" s="6">
        <f>VLOOKUP(B40,'75 - Summary Exhibit'!A:N,11,FALSE)</f>
        <v>2595755</v>
      </c>
      <c r="N40" s="6">
        <f>VLOOKUP(B40,'75 - Summary Exhibit'!A:N,12,FALSE)</f>
        <v>-941488</v>
      </c>
      <c r="O40" s="6">
        <f>VLOOKUP(B40,'75 - Summary Exhibit'!A:N,13,FALSE)</f>
        <v>-969122</v>
      </c>
      <c r="P40" s="6">
        <f t="shared" si="12"/>
        <v>-1910610</v>
      </c>
      <c r="Q40" s="6">
        <f>VLOOKUP(B40,'75- Deferred Amortization'!A:G,3,FALSE)</f>
        <v>-1928892</v>
      </c>
      <c r="R40" s="6">
        <f>VLOOKUP(B40,'75- Deferred Amortization'!A:G,4,FALSE)</f>
        <v>-1487098</v>
      </c>
      <c r="S40" s="6">
        <f>VLOOKUP(B40,'75- Deferred Amortization'!A:G,5,FALSE)</f>
        <v>-1404401</v>
      </c>
      <c r="T40" s="6">
        <f>VLOOKUP(B40,'75- Deferred Amortization'!A:G,6,FALSE)</f>
        <v>-809933</v>
      </c>
      <c r="U40" s="6">
        <f>VLOOKUP(B40,'75- Deferred Amortization'!A:G,7,FALSE)</f>
        <v>0</v>
      </c>
      <c r="V40" s="6">
        <f t="shared" si="13"/>
        <v>-1</v>
      </c>
      <c r="W40" s="6">
        <f t="shared" si="14"/>
        <v>-1</v>
      </c>
      <c r="X40">
        <v>2</v>
      </c>
      <c r="Z40" s="226">
        <f>VLOOKUP(B40,'Noncap Contr Alloc'!A:C,3,FALSE)</f>
        <v>64170</v>
      </c>
      <c r="AC40" s="9">
        <v>11436432</v>
      </c>
      <c r="AD40" s="9">
        <v>67519</v>
      </c>
      <c r="AE40" s="9">
        <v>0</v>
      </c>
      <c r="AF40" s="9">
        <v>935402</v>
      </c>
      <c r="AG40" s="6">
        <v>0</v>
      </c>
      <c r="AH40" s="6">
        <v>212885</v>
      </c>
      <c r="AI40" s="6">
        <v>5850</v>
      </c>
      <c r="AJ40" s="6">
        <v>2779302</v>
      </c>
      <c r="AK40" s="6">
        <v>3125289</v>
      </c>
      <c r="AM40" s="6">
        <f t="shared" si="15"/>
        <v>0</v>
      </c>
      <c r="AN40" s="6">
        <f t="shared" si="16"/>
        <v>-529534</v>
      </c>
      <c r="AO40" s="9">
        <f t="shared" si="17"/>
        <v>14442</v>
      </c>
      <c r="AP40" s="6">
        <f t="shared" si="18"/>
        <v>-189525</v>
      </c>
      <c r="AQ40" s="9">
        <f t="shared" si="19"/>
        <v>-259507</v>
      </c>
      <c r="AR40" s="6">
        <f t="shared" si="20"/>
        <v>1062868</v>
      </c>
      <c r="AS40" s="9">
        <f t="shared" si="21"/>
        <v>-2994395</v>
      </c>
      <c r="AT40" s="9">
        <f t="shared" si="22"/>
        <v>73104</v>
      </c>
      <c r="AU40" s="6">
        <f t="shared" si="23"/>
        <v>-5850</v>
      </c>
    </row>
    <row r="41" spans="1:47" x14ac:dyDescent="0.25">
      <c r="A41" t="s">
        <v>68</v>
      </c>
      <c r="B41">
        <v>32605</v>
      </c>
      <c r="C41" s="6">
        <f>VLOOKUP(B41,'ER Contributions'!A:D,4,FALSE)</f>
        <v>3114016</v>
      </c>
      <c r="D41" s="7">
        <f>VLOOKUP(B41,'ER Contributions'!A:D,3,FALSE)</f>
        <v>2.3804999999999998E-3</v>
      </c>
      <c r="E41" s="9">
        <f>VLOOKUP(B41,'75 - Summary Exhibit'!A:N,3,FALSE)</f>
        <v>56530015</v>
      </c>
      <c r="F41" s="9">
        <f>VLOOKUP(B41,'75 - Summary Exhibit'!A:N,4,FALSE)</f>
        <v>548832</v>
      </c>
      <c r="G41" s="9">
        <f>VLOOKUP(B41,'75 - Summary Exhibit'!A:N,5,FALSE)</f>
        <v>489525</v>
      </c>
      <c r="H41" s="9">
        <f>VLOOKUP(B41,'75 - Summary Exhibit'!A:N,6,FALSE)</f>
        <v>4525962</v>
      </c>
      <c r="I41" s="6">
        <f>VLOOKUP(B41,'75 - Summary Exhibit'!A:N,7,FALSE)</f>
        <v>6482191</v>
      </c>
      <c r="J41" s="6">
        <f>VLOOKUP(B41,'75 - Summary Exhibit'!A:N,8,FALSE)</f>
        <v>156424</v>
      </c>
      <c r="K41" s="6">
        <f>VLOOKUP(B41,'75 - Summary Exhibit'!A:N,9,FALSE)</f>
        <v>0</v>
      </c>
      <c r="L41" s="6">
        <f>VLOOKUP(B41,'75 - Summary Exhibit'!A:N,10,FALSE)</f>
        <v>25728141</v>
      </c>
      <c r="M41" s="6">
        <f>VLOOKUP(B41,'75 - Summary Exhibit'!A:N,11,FALSE)</f>
        <v>540952</v>
      </c>
      <c r="N41" s="6">
        <f>VLOOKUP(B41,'75 - Summary Exhibit'!A:N,12,FALSE)</f>
        <v>-6304436</v>
      </c>
      <c r="O41" s="6">
        <f>VLOOKUP(B41,'75 - Summary Exhibit'!A:N,13,FALSE)</f>
        <v>1034847</v>
      </c>
      <c r="P41" s="6">
        <f t="shared" si="12"/>
        <v>-5269589</v>
      </c>
      <c r="Q41" s="6">
        <f>VLOOKUP(B41,'75- Deferred Amortization'!A:G,3,FALSE)</f>
        <v>-5118235</v>
      </c>
      <c r="R41" s="6">
        <f>VLOOKUP(B41,'75- Deferred Amortization'!A:G,4,FALSE)</f>
        <v>-3237489</v>
      </c>
      <c r="S41" s="6">
        <f>VLOOKUP(B41,'75- Deferred Amortization'!A:G,5,FALSE)</f>
        <v>-3936619</v>
      </c>
      <c r="T41" s="6">
        <f>VLOOKUP(B41,'75- Deferred Amortization'!A:G,6,FALSE)</f>
        <v>-2086663</v>
      </c>
      <c r="U41" s="6">
        <f>VLOOKUP(B41,'75- Deferred Amortization'!A:G,7,FALSE)</f>
        <v>0</v>
      </c>
      <c r="V41" s="6">
        <f t="shared" si="13"/>
        <v>4</v>
      </c>
      <c r="W41" s="6">
        <f t="shared" si="14"/>
        <v>-1</v>
      </c>
      <c r="X41">
        <v>2</v>
      </c>
      <c r="Z41" s="226">
        <f>VLOOKUP(B41,'Noncap Contr Alloc'!A:C,3,FALSE)</f>
        <v>429695</v>
      </c>
      <c r="AC41" s="9">
        <v>74396017</v>
      </c>
      <c r="AD41" s="9">
        <v>439223</v>
      </c>
      <c r="AE41" s="9">
        <v>0</v>
      </c>
      <c r="AF41" s="9">
        <v>6084954</v>
      </c>
      <c r="AG41" s="6">
        <v>8629915</v>
      </c>
      <c r="AH41" s="6">
        <v>1384856</v>
      </c>
      <c r="AI41" s="6">
        <v>38057</v>
      </c>
      <c r="AJ41" s="6">
        <v>18079849</v>
      </c>
      <c r="AK41" s="6">
        <v>977639</v>
      </c>
      <c r="AM41" s="6">
        <f t="shared" si="15"/>
        <v>-2147724</v>
      </c>
      <c r="AN41" s="6">
        <f t="shared" si="16"/>
        <v>-436687</v>
      </c>
      <c r="AO41" s="9">
        <f t="shared" si="17"/>
        <v>109609</v>
      </c>
      <c r="AP41" s="6">
        <f t="shared" si="18"/>
        <v>-1228432</v>
      </c>
      <c r="AQ41" s="9">
        <f t="shared" si="19"/>
        <v>-1558992</v>
      </c>
      <c r="AR41" s="6">
        <f t="shared" si="20"/>
        <v>7648292</v>
      </c>
      <c r="AS41" s="9">
        <f t="shared" si="21"/>
        <v>-17866002</v>
      </c>
      <c r="AT41" s="9">
        <f t="shared" si="22"/>
        <v>489525</v>
      </c>
      <c r="AU41" s="6">
        <f t="shared" si="23"/>
        <v>-38057</v>
      </c>
    </row>
    <row r="42" spans="1:47" x14ac:dyDescent="0.25">
      <c r="A42" t="s">
        <v>73</v>
      </c>
      <c r="B42">
        <v>33405</v>
      </c>
      <c r="C42" s="6">
        <f>VLOOKUP(B42,'ER Contributions'!A:D,4,FALSE)</f>
        <v>1951805</v>
      </c>
      <c r="D42" s="7">
        <f>VLOOKUP(B42,'ER Contributions'!A:D,3,FALSE)</f>
        <v>1.6184999999999999E-3</v>
      </c>
      <c r="E42" s="9">
        <f>VLOOKUP(B42,'75 - Summary Exhibit'!A:N,3,FALSE)</f>
        <v>38433764</v>
      </c>
      <c r="F42" s="9">
        <f>VLOOKUP(B42,'75 - Summary Exhibit'!A:N,4,FALSE)</f>
        <v>373141</v>
      </c>
      <c r="G42" s="9">
        <f>VLOOKUP(B42,'75 - Summary Exhibit'!A:N,5,FALSE)</f>
        <v>332820</v>
      </c>
      <c r="H42" s="9">
        <f>VLOOKUP(B42,'75 - Summary Exhibit'!A:N,6,FALSE)</f>
        <v>3077122</v>
      </c>
      <c r="I42" s="6">
        <f>VLOOKUP(B42,'75 - Summary Exhibit'!A:N,7,FALSE)</f>
        <v>2780536</v>
      </c>
      <c r="J42" s="6">
        <f>VLOOKUP(B42,'75 - Summary Exhibit'!A:N,8,FALSE)</f>
        <v>106350</v>
      </c>
      <c r="K42" s="6">
        <f>VLOOKUP(B42,'75 - Summary Exhibit'!A:N,9,FALSE)</f>
        <v>0</v>
      </c>
      <c r="L42" s="6">
        <f>VLOOKUP(B42,'75 - Summary Exhibit'!A:N,10,FALSE)</f>
        <v>17492111</v>
      </c>
      <c r="M42" s="6">
        <f>VLOOKUP(B42,'75 - Summary Exhibit'!A:N,11,FALSE)</f>
        <v>1591358</v>
      </c>
      <c r="N42" s="6">
        <f>VLOOKUP(B42,'75 - Summary Exhibit'!A:N,12,FALSE)</f>
        <v>-4286276</v>
      </c>
      <c r="O42" s="6">
        <f>VLOOKUP(B42,'75 - Summary Exhibit'!A:N,13,FALSE)</f>
        <v>-1122930</v>
      </c>
      <c r="P42" s="6">
        <f t="shared" si="12"/>
        <v>-5409206</v>
      </c>
      <c r="Q42" s="6">
        <f>VLOOKUP(B42,'75- Deferred Amortization'!A:G,3,FALSE)</f>
        <v>-5111043</v>
      </c>
      <c r="R42" s="6">
        <f>VLOOKUP(B42,'75- Deferred Amortization'!A:G,4,FALSE)</f>
        <v>-2966539</v>
      </c>
      <c r="S42" s="6">
        <f>VLOOKUP(B42,'75- Deferred Amortization'!A:G,5,FALSE)</f>
        <v>-3096828</v>
      </c>
      <c r="T42" s="6">
        <f>VLOOKUP(B42,'75- Deferred Amortization'!A:G,6,FALSE)</f>
        <v>-1451790</v>
      </c>
      <c r="U42" s="6">
        <f>VLOOKUP(B42,'75- Deferred Amortization'!A:G,7,FALSE)</f>
        <v>0</v>
      </c>
      <c r="V42" s="6">
        <f t="shared" si="13"/>
        <v>-3</v>
      </c>
      <c r="W42" s="6">
        <f t="shared" si="14"/>
        <v>0</v>
      </c>
      <c r="X42">
        <v>2</v>
      </c>
      <c r="Z42" s="226">
        <f>VLOOKUP(B42,'Noncap Contr Alloc'!A:C,3,FALSE)</f>
        <v>292149</v>
      </c>
      <c r="AC42" s="9">
        <v>48970897</v>
      </c>
      <c r="AD42" s="9">
        <v>289117</v>
      </c>
      <c r="AE42" s="9">
        <v>0</v>
      </c>
      <c r="AF42" s="9">
        <v>4005398</v>
      </c>
      <c r="AG42" s="6">
        <v>2210300</v>
      </c>
      <c r="AH42" s="6">
        <v>911576</v>
      </c>
      <c r="AI42" s="6">
        <v>25051</v>
      </c>
      <c r="AJ42" s="6">
        <v>11900992</v>
      </c>
      <c r="AK42" s="6">
        <v>3409420</v>
      </c>
      <c r="AM42" s="6">
        <f t="shared" si="15"/>
        <v>570236</v>
      </c>
      <c r="AN42" s="6">
        <f t="shared" si="16"/>
        <v>-1818062</v>
      </c>
      <c r="AO42" s="9">
        <f t="shared" si="17"/>
        <v>84024</v>
      </c>
      <c r="AP42" s="6">
        <f t="shared" si="18"/>
        <v>-805226</v>
      </c>
      <c r="AQ42" s="9">
        <f t="shared" si="19"/>
        <v>-928276</v>
      </c>
      <c r="AR42" s="6">
        <f t="shared" si="20"/>
        <v>5591119</v>
      </c>
      <c r="AS42" s="9">
        <f t="shared" si="21"/>
        <v>-10537133</v>
      </c>
      <c r="AT42" s="9">
        <f t="shared" si="22"/>
        <v>332820</v>
      </c>
      <c r="AU42" s="6">
        <f t="shared" si="23"/>
        <v>-25051</v>
      </c>
    </row>
    <row r="43" spans="1:47" x14ac:dyDescent="0.25">
      <c r="A43" t="s">
        <v>74</v>
      </c>
      <c r="B43">
        <v>33605</v>
      </c>
      <c r="C43" s="6">
        <f>VLOOKUP(B43,'ER Contributions'!A:D,4,FALSE)</f>
        <v>1472636</v>
      </c>
      <c r="D43" s="7">
        <f>VLOOKUP(B43,'ER Contributions'!A:D,3,FALSE)</f>
        <v>1.0234E-3</v>
      </c>
      <c r="E43" s="9">
        <f>VLOOKUP(B43,'75 - Summary Exhibit'!A:N,3,FALSE)</f>
        <v>24302704</v>
      </c>
      <c r="F43" s="9">
        <f>VLOOKUP(B43,'75 - Summary Exhibit'!A:N,4,FALSE)</f>
        <v>235947</v>
      </c>
      <c r="G43" s="9">
        <f>VLOOKUP(B43,'75 - Summary Exhibit'!A:N,5,FALSE)</f>
        <v>210451</v>
      </c>
      <c r="H43" s="9">
        <f>VLOOKUP(B43,'75 - Summary Exhibit'!A:N,6,FALSE)</f>
        <v>1945747</v>
      </c>
      <c r="I43" s="6">
        <f>VLOOKUP(B43,'75 - Summary Exhibit'!A:N,7,FALSE)</f>
        <v>744808</v>
      </c>
      <c r="J43" s="6">
        <f>VLOOKUP(B43,'75 - Summary Exhibit'!A:N,8,FALSE)</f>
        <v>67248</v>
      </c>
      <c r="K43" s="6">
        <f>VLOOKUP(B43,'75 - Summary Exhibit'!A:N,9,FALSE)</f>
        <v>0</v>
      </c>
      <c r="L43" s="6">
        <f>VLOOKUP(B43,'75 - Summary Exhibit'!A:N,10,FALSE)</f>
        <v>11060733</v>
      </c>
      <c r="M43" s="6">
        <f>VLOOKUP(B43,'75 - Summary Exhibit'!A:N,11,FALSE)</f>
        <v>3400309</v>
      </c>
      <c r="N43" s="6">
        <f>VLOOKUP(B43,'75 - Summary Exhibit'!A:N,12,FALSE)</f>
        <v>-2710328</v>
      </c>
      <c r="O43" s="6">
        <f>VLOOKUP(B43,'75 - Summary Exhibit'!A:N,13,FALSE)</f>
        <v>-1423144</v>
      </c>
      <c r="P43" s="6">
        <f t="shared" si="12"/>
        <v>-4133472</v>
      </c>
      <c r="Q43" s="6">
        <f>VLOOKUP(B43,'75- Deferred Amortization'!A:G,3,FALSE)</f>
        <v>-4241667</v>
      </c>
      <c r="R43" s="6">
        <f>VLOOKUP(B43,'75- Deferred Amortization'!A:G,4,FALSE)</f>
        <v>-2985944</v>
      </c>
      <c r="S43" s="6">
        <f>VLOOKUP(B43,'75- Deferred Amortization'!A:G,5,FALSE)</f>
        <v>-2843176</v>
      </c>
      <c r="T43" s="6">
        <f>VLOOKUP(B43,'75- Deferred Amortization'!A:G,6,FALSE)</f>
        <v>-1320550</v>
      </c>
      <c r="U43" s="6">
        <f>VLOOKUP(B43,'75- Deferred Amortization'!A:G,7,FALSE)</f>
        <v>0</v>
      </c>
      <c r="V43" s="6">
        <f t="shared" si="13"/>
        <v>0</v>
      </c>
      <c r="W43" s="6">
        <f t="shared" si="14"/>
        <v>0</v>
      </c>
      <c r="X43">
        <v>2</v>
      </c>
      <c r="Z43" s="226">
        <f>VLOOKUP(B43,'Noncap Contr Alloc'!A:C,3,FALSE)</f>
        <v>184730</v>
      </c>
      <c r="AC43" s="9">
        <v>32485092</v>
      </c>
      <c r="AD43" s="9">
        <v>191787</v>
      </c>
      <c r="AE43" s="9">
        <v>0</v>
      </c>
      <c r="AF43" s="9">
        <v>2657001</v>
      </c>
      <c r="AG43" s="6">
        <v>931010</v>
      </c>
      <c r="AH43" s="6">
        <v>604699</v>
      </c>
      <c r="AI43" s="6">
        <v>16617</v>
      </c>
      <c r="AJ43" s="6">
        <v>7894583</v>
      </c>
      <c r="AK43" s="6">
        <v>4263686</v>
      </c>
      <c r="AM43" s="6">
        <f t="shared" si="15"/>
        <v>-186202</v>
      </c>
      <c r="AN43" s="6">
        <f t="shared" si="16"/>
        <v>-863377</v>
      </c>
      <c r="AO43" s="9">
        <f t="shared" si="17"/>
        <v>44160</v>
      </c>
      <c r="AP43" s="6">
        <f t="shared" si="18"/>
        <v>-537451</v>
      </c>
      <c r="AQ43" s="9">
        <f t="shared" si="19"/>
        <v>-711254</v>
      </c>
      <c r="AR43" s="6">
        <f t="shared" si="20"/>
        <v>3166150</v>
      </c>
      <c r="AS43" s="9">
        <f t="shared" si="21"/>
        <v>-8182388</v>
      </c>
      <c r="AT43" s="9">
        <f t="shared" si="22"/>
        <v>210451</v>
      </c>
      <c r="AU43" s="6">
        <f t="shared" si="23"/>
        <v>-16617</v>
      </c>
    </row>
    <row r="44" spans="1:47" x14ac:dyDescent="0.25">
      <c r="A44" t="s">
        <v>75</v>
      </c>
      <c r="B44">
        <v>34105</v>
      </c>
      <c r="C44" s="6">
        <f>VLOOKUP(B44,'ER Contributions'!A:D,4,FALSE)</f>
        <v>2433540</v>
      </c>
      <c r="D44" s="7">
        <f>VLOOKUP(B44,'ER Contributions'!A:D,3,FALSE)</f>
        <v>1.7853000000000001E-3</v>
      </c>
      <c r="E44" s="9">
        <f>VLOOKUP(B44,'75 - Summary Exhibit'!A:N,3,FALSE)</f>
        <v>42394438</v>
      </c>
      <c r="F44" s="9">
        <f>VLOOKUP(B44,'75 - Summary Exhibit'!A:N,4,FALSE)</f>
        <v>411594</v>
      </c>
      <c r="G44" s="9">
        <f>VLOOKUP(B44,'75 - Summary Exhibit'!A:N,5,FALSE)</f>
        <v>367117</v>
      </c>
      <c r="H44" s="9">
        <f>VLOOKUP(B44,'75 - Summary Exhibit'!A:N,6,FALSE)</f>
        <v>3394226</v>
      </c>
      <c r="I44" s="6">
        <f>VLOOKUP(B44,'75 - Summary Exhibit'!A:N,7,FALSE)</f>
        <v>717768</v>
      </c>
      <c r="J44" s="6">
        <f>VLOOKUP(B44,'75 - Summary Exhibit'!A:N,8,FALSE)</f>
        <v>117310</v>
      </c>
      <c r="K44" s="6">
        <f>VLOOKUP(B44,'75 - Summary Exhibit'!A:N,9,FALSE)</f>
        <v>0</v>
      </c>
      <c r="L44" s="6">
        <f>VLOOKUP(B44,'75 - Summary Exhibit'!A:N,10,FALSE)</f>
        <v>19294707</v>
      </c>
      <c r="M44" s="6">
        <f>VLOOKUP(B44,'75 - Summary Exhibit'!A:N,11,FALSE)</f>
        <v>5575016</v>
      </c>
      <c r="N44" s="6">
        <f>VLOOKUP(B44,'75 - Summary Exhibit'!A:N,12,FALSE)</f>
        <v>-4727985</v>
      </c>
      <c r="O44" s="6">
        <f>VLOOKUP(B44,'75 - Summary Exhibit'!A:N,13,FALSE)</f>
        <v>-2617688</v>
      </c>
      <c r="P44" s="6">
        <f t="shared" si="12"/>
        <v>-7345673</v>
      </c>
      <c r="Q44" s="6">
        <f>VLOOKUP(B44,'75- Deferred Amortization'!A:G,3,FALSE)</f>
        <v>-7482127</v>
      </c>
      <c r="R44" s="6">
        <f>VLOOKUP(B44,'75- Deferred Amortization'!A:G,4,FALSE)</f>
        <v>-5175698</v>
      </c>
      <c r="S44" s="6">
        <f>VLOOKUP(B44,'75- Deferred Amortization'!A:G,5,FALSE)</f>
        <v>-4825259</v>
      </c>
      <c r="T44" s="6">
        <f>VLOOKUP(B44,'75- Deferred Amortization'!A:G,6,FALSE)</f>
        <v>-2613243</v>
      </c>
      <c r="U44" s="6">
        <f>VLOOKUP(B44,'75- Deferred Amortization'!A:G,7,FALSE)</f>
        <v>0</v>
      </c>
      <c r="V44" s="6">
        <f t="shared" si="13"/>
        <v>-7</v>
      </c>
      <c r="W44" s="6">
        <f t="shared" si="14"/>
        <v>-1</v>
      </c>
      <c r="X44">
        <v>2</v>
      </c>
      <c r="Z44" s="226">
        <f>VLOOKUP(B44,'Noncap Contr Alloc'!A:C,3,FALSE)</f>
        <v>322257</v>
      </c>
      <c r="AC44" s="9">
        <v>57252093</v>
      </c>
      <c r="AD44" s="9">
        <v>338008</v>
      </c>
      <c r="AE44" s="9">
        <v>0</v>
      </c>
      <c r="AF44" s="9">
        <v>4682728</v>
      </c>
      <c r="AG44" s="6">
        <v>897210</v>
      </c>
      <c r="AH44" s="6">
        <v>1065728</v>
      </c>
      <c r="AI44" s="6">
        <v>29287</v>
      </c>
      <c r="AJ44" s="6">
        <v>13913503</v>
      </c>
      <c r="AK44" s="6">
        <v>6249564</v>
      </c>
      <c r="AM44" s="6">
        <f t="shared" si="15"/>
        <v>-179442</v>
      </c>
      <c r="AN44" s="6">
        <f t="shared" si="16"/>
        <v>-674548</v>
      </c>
      <c r="AO44" s="9">
        <f t="shared" si="17"/>
        <v>73586</v>
      </c>
      <c r="AP44" s="6">
        <f t="shared" si="18"/>
        <v>-948418</v>
      </c>
      <c r="AQ44" s="9">
        <f t="shared" si="19"/>
        <v>-1288502</v>
      </c>
      <c r="AR44" s="6">
        <f t="shared" si="20"/>
        <v>5381204</v>
      </c>
      <c r="AS44" s="9">
        <f t="shared" si="21"/>
        <v>-14857655</v>
      </c>
      <c r="AT44" s="9">
        <f t="shared" si="22"/>
        <v>367117</v>
      </c>
      <c r="AU44" s="6">
        <f t="shared" si="23"/>
        <v>-29287</v>
      </c>
    </row>
    <row r="45" spans="1:47" x14ac:dyDescent="0.25">
      <c r="A45" t="s">
        <v>76</v>
      </c>
      <c r="B45">
        <v>34205</v>
      </c>
      <c r="C45" s="6">
        <f>VLOOKUP(B45,'ER Contributions'!A:D,4,FALSE)</f>
        <v>423295</v>
      </c>
      <c r="D45" s="7">
        <f>VLOOKUP(B45,'ER Contributions'!A:D,3,FALSE)</f>
        <v>3.3060000000000001E-4</v>
      </c>
      <c r="E45" s="9">
        <f>VLOOKUP(B45,'75 - Summary Exhibit'!A:N,3,FALSE)</f>
        <v>7849633</v>
      </c>
      <c r="F45" s="9">
        <f>VLOOKUP(B45,'75 - Summary Exhibit'!A:N,4,FALSE)</f>
        <v>76210</v>
      </c>
      <c r="G45" s="9">
        <f>VLOOKUP(B45,'75 - Summary Exhibit'!A:N,5,FALSE)</f>
        <v>67974</v>
      </c>
      <c r="H45" s="9">
        <f>VLOOKUP(B45,'75 - Summary Exhibit'!A:N,6,FALSE)</f>
        <v>628465</v>
      </c>
      <c r="I45" s="6">
        <f>VLOOKUP(B45,'75 - Summary Exhibit'!A:N,7,FALSE)</f>
        <v>850148</v>
      </c>
      <c r="J45" s="6">
        <f>VLOOKUP(B45,'75 - Summary Exhibit'!A:N,8,FALSE)</f>
        <v>21721</v>
      </c>
      <c r="K45" s="6">
        <f>VLOOKUP(B45,'75 - Summary Exhibit'!A:N,9,FALSE)</f>
        <v>0</v>
      </c>
      <c r="L45" s="6">
        <f>VLOOKUP(B45,'75 - Summary Exhibit'!A:N,10,FALSE)</f>
        <v>3572553</v>
      </c>
      <c r="M45" s="6">
        <f>VLOOKUP(B45,'75 - Summary Exhibit'!A:N,11,FALSE)</f>
        <v>1558842</v>
      </c>
      <c r="N45" s="6">
        <f>VLOOKUP(B45,'75 - Summary Exhibit'!A:N,12,FALSE)</f>
        <v>-875420</v>
      </c>
      <c r="O45" s="6">
        <f>VLOOKUP(B45,'75 - Summary Exhibit'!A:N,13,FALSE)</f>
        <v>-534316</v>
      </c>
      <c r="P45" s="6">
        <f t="shared" si="12"/>
        <v>-1409736</v>
      </c>
      <c r="Q45" s="6">
        <f>VLOOKUP(B45,'75- Deferred Amortization'!A:G,3,FALSE)</f>
        <v>-1322318</v>
      </c>
      <c r="R45" s="6">
        <f>VLOOKUP(B45,'75- Deferred Amortization'!A:G,4,FALSE)</f>
        <v>-948948</v>
      </c>
      <c r="S45" s="6">
        <f>VLOOKUP(B45,'75- Deferred Amortization'!A:G,5,FALSE)</f>
        <v>-895627</v>
      </c>
      <c r="T45" s="6">
        <f>VLOOKUP(B45,'75- Deferred Amortization'!A:G,6,FALSE)</f>
        <v>-363425</v>
      </c>
      <c r="U45" s="6">
        <f>VLOOKUP(B45,'75- Deferred Amortization'!A:G,7,FALSE)</f>
        <v>0</v>
      </c>
      <c r="V45" s="6">
        <f t="shared" si="13"/>
        <v>-6</v>
      </c>
      <c r="W45" s="6">
        <f t="shared" si="14"/>
        <v>-1</v>
      </c>
      <c r="X45">
        <v>2</v>
      </c>
      <c r="Z45" s="226">
        <f>VLOOKUP(B45,'Noncap Contr Alloc'!A:C,3,FALSE)</f>
        <v>59675</v>
      </c>
      <c r="AC45" s="9">
        <v>10828051</v>
      </c>
      <c r="AD45" s="9">
        <v>63927</v>
      </c>
      <c r="AE45" s="9">
        <v>0</v>
      </c>
      <c r="AF45" s="9">
        <v>885641</v>
      </c>
      <c r="AG45" s="6">
        <v>1062685</v>
      </c>
      <c r="AH45" s="6">
        <v>201560</v>
      </c>
      <c r="AI45" s="6">
        <v>5539</v>
      </c>
      <c r="AJ45" s="6">
        <v>2631452</v>
      </c>
      <c r="AK45" s="6">
        <v>1618303</v>
      </c>
      <c r="AM45" s="6">
        <f t="shared" si="15"/>
        <v>-212537</v>
      </c>
      <c r="AN45" s="6">
        <f t="shared" si="16"/>
        <v>-59461</v>
      </c>
      <c r="AO45" s="9">
        <f t="shared" si="17"/>
        <v>12283</v>
      </c>
      <c r="AP45" s="6">
        <f t="shared" si="18"/>
        <v>-179839</v>
      </c>
      <c r="AQ45" s="9">
        <f t="shared" si="19"/>
        <v>-257176</v>
      </c>
      <c r="AR45" s="6">
        <f t="shared" si="20"/>
        <v>941101</v>
      </c>
      <c r="AS45" s="9">
        <f t="shared" si="21"/>
        <v>-2978418</v>
      </c>
      <c r="AT45" s="9">
        <f t="shared" si="22"/>
        <v>67974</v>
      </c>
      <c r="AU45" s="6">
        <f t="shared" si="23"/>
        <v>-5539</v>
      </c>
    </row>
    <row r="46" spans="1:47" x14ac:dyDescent="0.25">
      <c r="A46" t="s">
        <v>77</v>
      </c>
      <c r="B46">
        <v>34405</v>
      </c>
      <c r="C46" s="6">
        <f>VLOOKUP(B46,'ER Contributions'!A:D,4,FALSE)</f>
        <v>509983</v>
      </c>
      <c r="D46" s="7">
        <f>VLOOKUP(B46,'ER Contributions'!A:D,3,FALSE)</f>
        <v>4.394E-4</v>
      </c>
      <c r="E46" s="9">
        <f>VLOOKUP(B46,'75 - Summary Exhibit'!A:N,3,FALSE)</f>
        <v>10435269</v>
      </c>
      <c r="F46" s="9">
        <f>VLOOKUP(B46,'75 - Summary Exhibit'!A:N,4,FALSE)</f>
        <v>101313</v>
      </c>
      <c r="G46" s="9">
        <f>VLOOKUP(B46,'75 - Summary Exhibit'!A:N,5,FALSE)</f>
        <v>90365</v>
      </c>
      <c r="H46" s="9">
        <f>VLOOKUP(B46,'75 - Summary Exhibit'!A:N,6,FALSE)</f>
        <v>835479</v>
      </c>
      <c r="I46" s="6">
        <f>VLOOKUP(B46,'75 - Summary Exhibit'!A:N,7,FALSE)</f>
        <v>85232</v>
      </c>
      <c r="J46" s="6">
        <f>VLOOKUP(B46,'75 - Summary Exhibit'!A:N,8,FALSE)</f>
        <v>28875</v>
      </c>
      <c r="K46" s="6">
        <f>VLOOKUP(B46,'75 - Summary Exhibit'!A:N,9,FALSE)</f>
        <v>0</v>
      </c>
      <c r="L46" s="6">
        <f>VLOOKUP(B46,'75 - Summary Exhibit'!A:N,10,FALSE)</f>
        <v>4749337</v>
      </c>
      <c r="M46" s="6">
        <f>VLOOKUP(B46,'75 - Summary Exhibit'!A:N,11,FALSE)</f>
        <v>1180913</v>
      </c>
      <c r="N46" s="6">
        <f>VLOOKUP(B46,'75 - Summary Exhibit'!A:N,12,FALSE)</f>
        <v>-1163781</v>
      </c>
      <c r="O46" s="6">
        <f>VLOOKUP(B46,'75 - Summary Exhibit'!A:N,13,FALSE)</f>
        <v>-767566</v>
      </c>
      <c r="P46" s="6">
        <f t="shared" si="12"/>
        <v>-1931347</v>
      </c>
      <c r="Q46" s="6">
        <f>VLOOKUP(B46,'75- Deferred Amortization'!A:G,3,FALSE)</f>
        <v>-1687201</v>
      </c>
      <c r="R46" s="6">
        <f>VLOOKUP(B46,'75- Deferred Amortization'!A:G,4,FALSE)</f>
        <v>-1224261</v>
      </c>
      <c r="S46" s="6">
        <f>VLOOKUP(B46,'75- Deferred Amortization'!A:G,5,FALSE)</f>
        <v>-1333457</v>
      </c>
      <c r="T46" s="6">
        <f>VLOOKUP(B46,'75- Deferred Amortization'!A:G,6,FALSE)</f>
        <v>-601818</v>
      </c>
      <c r="U46" s="6">
        <f>VLOOKUP(B46,'75- Deferred Amortization'!A:G,7,FALSE)</f>
        <v>0</v>
      </c>
      <c r="V46" s="6">
        <f t="shared" si="13"/>
        <v>6</v>
      </c>
      <c r="W46" s="6">
        <f t="shared" si="14"/>
        <v>1</v>
      </c>
      <c r="X46">
        <v>2</v>
      </c>
      <c r="Z46" s="226">
        <f>VLOOKUP(B46,'Noncap Contr Alloc'!A:C,3,FALSE)</f>
        <v>79314</v>
      </c>
      <c r="AC46" s="9">
        <v>13481063</v>
      </c>
      <c r="AD46" s="9">
        <v>79590</v>
      </c>
      <c r="AE46" s="9">
        <v>0</v>
      </c>
      <c r="AF46" s="9">
        <v>1102635</v>
      </c>
      <c r="AG46" s="6">
        <v>0</v>
      </c>
      <c r="AH46" s="6">
        <v>250945</v>
      </c>
      <c r="AI46" s="6">
        <v>6896</v>
      </c>
      <c r="AJ46" s="6">
        <v>3276191</v>
      </c>
      <c r="AK46" s="6">
        <v>1969785</v>
      </c>
      <c r="AM46" s="6">
        <f t="shared" si="15"/>
        <v>85232</v>
      </c>
      <c r="AN46" s="6">
        <f t="shared" si="16"/>
        <v>-788872</v>
      </c>
      <c r="AO46" s="9">
        <f t="shared" si="17"/>
        <v>21723</v>
      </c>
      <c r="AP46" s="6">
        <f t="shared" si="18"/>
        <v>-222070</v>
      </c>
      <c r="AQ46" s="9">
        <f t="shared" si="19"/>
        <v>-267156</v>
      </c>
      <c r="AR46" s="6">
        <f t="shared" si="20"/>
        <v>1473146</v>
      </c>
      <c r="AS46" s="9">
        <f t="shared" si="21"/>
        <v>-3045794</v>
      </c>
      <c r="AT46" s="9">
        <f t="shared" si="22"/>
        <v>90365</v>
      </c>
      <c r="AU46" s="6">
        <f t="shared" si="23"/>
        <v>-6896</v>
      </c>
    </row>
    <row r="47" spans="1:47" x14ac:dyDescent="0.25">
      <c r="A47" t="s">
        <v>103</v>
      </c>
      <c r="B47">
        <v>38105</v>
      </c>
      <c r="C47" s="6">
        <f>VLOOKUP(B47,'ER Contributions'!A:D,4,FALSE)</f>
        <v>626866</v>
      </c>
      <c r="D47" s="7">
        <f>VLOOKUP(B47,'ER Contributions'!A:D,3,FALSE)</f>
        <v>5.0819999999999999E-4</v>
      </c>
      <c r="E47" s="9">
        <f>VLOOKUP(B47,'75 - Summary Exhibit'!A:N,3,FALSE)</f>
        <v>12068285</v>
      </c>
      <c r="F47" s="9">
        <f>VLOOKUP(B47,'75 - Summary Exhibit'!A:N,4,FALSE)</f>
        <v>117167</v>
      </c>
      <c r="G47" s="9">
        <f>VLOOKUP(B47,'75 - Summary Exhibit'!A:N,5,FALSE)</f>
        <v>104506</v>
      </c>
      <c r="H47" s="9">
        <f>VLOOKUP(B47,'75 - Summary Exhibit'!A:N,6,FALSE)</f>
        <v>966223</v>
      </c>
      <c r="I47" s="6">
        <f>VLOOKUP(B47,'75 - Summary Exhibit'!A:N,7,FALSE)</f>
        <v>263296</v>
      </c>
      <c r="J47" s="6">
        <f>VLOOKUP(B47,'75 - Summary Exhibit'!A:N,8,FALSE)</f>
        <v>33394</v>
      </c>
      <c r="K47" s="6">
        <f>VLOOKUP(B47,'75 - Summary Exhibit'!A:N,9,FALSE)</f>
        <v>0</v>
      </c>
      <c r="L47" s="6">
        <f>VLOOKUP(B47,'75 - Summary Exhibit'!A:N,10,FALSE)</f>
        <v>5492561</v>
      </c>
      <c r="M47" s="6">
        <f>VLOOKUP(B47,'75 - Summary Exhibit'!A:N,11,FALSE)</f>
        <v>898645</v>
      </c>
      <c r="N47" s="6">
        <f>VLOOKUP(B47,'75 - Summary Exhibit'!A:N,12,FALSE)</f>
        <v>-1345898</v>
      </c>
      <c r="O47" s="6">
        <f>VLOOKUP(B47,'75 - Summary Exhibit'!A:N,13,FALSE)</f>
        <v>-609127</v>
      </c>
      <c r="P47" s="6">
        <f t="shared" si="12"/>
        <v>-1955025</v>
      </c>
      <c r="Q47" s="6">
        <f>VLOOKUP(B47,'75- Deferred Amortization'!A:G,3,FALSE)</f>
        <v>-1794898</v>
      </c>
      <c r="R47" s="6">
        <f>VLOOKUP(B47,'75- Deferred Amortization'!A:G,4,FALSE)</f>
        <v>-1223511</v>
      </c>
      <c r="S47" s="6">
        <f>VLOOKUP(B47,'75- Deferred Amortization'!A:G,5,FALSE)</f>
        <v>-1238064</v>
      </c>
      <c r="T47" s="6">
        <f>VLOOKUP(B47,'75- Deferred Amortization'!A:G,6,FALSE)</f>
        <v>-716935</v>
      </c>
      <c r="U47" s="6">
        <f>VLOOKUP(B47,'75- Deferred Amortization'!A:G,7,FALSE)</f>
        <v>0</v>
      </c>
      <c r="V47" s="6">
        <f t="shared" si="13"/>
        <v>3</v>
      </c>
      <c r="W47" s="6">
        <f t="shared" si="14"/>
        <v>0</v>
      </c>
      <c r="X47">
        <v>2</v>
      </c>
      <c r="Z47" s="226">
        <f>VLOOKUP(B47,'Noncap Contr Alloc'!A:C,3,FALSE)</f>
        <v>91733</v>
      </c>
      <c r="AC47" s="9">
        <v>15446961</v>
      </c>
      <c r="AD47" s="9">
        <v>91197</v>
      </c>
      <c r="AE47" s="9">
        <v>0</v>
      </c>
      <c r="AF47" s="9">
        <v>1263428</v>
      </c>
      <c r="AG47" s="6">
        <v>0</v>
      </c>
      <c r="AH47" s="6">
        <v>287540</v>
      </c>
      <c r="AI47" s="6">
        <v>7902</v>
      </c>
      <c r="AJ47" s="6">
        <v>3753947</v>
      </c>
      <c r="AK47" s="6">
        <v>1573595</v>
      </c>
      <c r="AM47" s="6">
        <f t="shared" si="15"/>
        <v>263296</v>
      </c>
      <c r="AN47" s="6">
        <f t="shared" si="16"/>
        <v>-674950</v>
      </c>
      <c r="AO47" s="9">
        <f t="shared" si="17"/>
        <v>25970</v>
      </c>
      <c r="AP47" s="6">
        <f t="shared" si="18"/>
        <v>-254146</v>
      </c>
      <c r="AQ47" s="9">
        <f t="shared" si="19"/>
        <v>-297205</v>
      </c>
      <c r="AR47" s="6">
        <f t="shared" si="20"/>
        <v>1738614</v>
      </c>
      <c r="AS47" s="9">
        <f t="shared" si="21"/>
        <v>-3378676</v>
      </c>
      <c r="AT47" s="9">
        <f t="shared" si="22"/>
        <v>104506</v>
      </c>
      <c r="AU47" s="6">
        <f t="shared" si="23"/>
        <v>-7902</v>
      </c>
    </row>
    <row r="48" spans="1:47" x14ac:dyDescent="0.25">
      <c r="A48" t="s">
        <v>70</v>
      </c>
      <c r="B48">
        <v>33105</v>
      </c>
      <c r="C48" s="6">
        <f>VLOOKUP(B48,'ER Contributions'!A:D,4,FALSE)</f>
        <v>431207</v>
      </c>
      <c r="D48" s="7">
        <f>VLOOKUP(B48,'ER Contributions'!A:D,3,FALSE)</f>
        <v>3.4479999999999998E-4</v>
      </c>
      <c r="E48" s="9">
        <f>VLOOKUP(B48,'75 - Summary Exhibit'!A:N,3,FALSE)</f>
        <v>8186829</v>
      </c>
      <c r="F48" s="9">
        <f>VLOOKUP(B48,'75 - Summary Exhibit'!A:N,4,FALSE)</f>
        <v>79483</v>
      </c>
      <c r="G48" s="9">
        <f>VLOOKUP(B48,'75 - Summary Exhibit'!A:N,5,FALSE)</f>
        <v>70894</v>
      </c>
      <c r="H48" s="9">
        <f>VLOOKUP(B48,'75 - Summary Exhibit'!A:N,6,FALSE)</f>
        <v>655462</v>
      </c>
      <c r="I48" s="6">
        <f>VLOOKUP(B48,'75 - Summary Exhibit'!A:N,7,FALSE)</f>
        <v>760937</v>
      </c>
      <c r="J48" s="6">
        <f>VLOOKUP(B48,'75 - Summary Exhibit'!A:N,8,FALSE)</f>
        <v>22654</v>
      </c>
      <c r="K48" s="6">
        <f>VLOOKUP(B48,'75 - Summary Exhibit'!A:N,9,FALSE)</f>
        <v>0</v>
      </c>
      <c r="L48" s="6">
        <f>VLOOKUP(B48,'75 - Summary Exhibit'!A:N,10,FALSE)</f>
        <v>3726019</v>
      </c>
      <c r="M48" s="6">
        <f>VLOOKUP(B48,'75 - Summary Exhibit'!A:N,11,FALSE)</f>
        <v>343760</v>
      </c>
      <c r="N48" s="6">
        <f>VLOOKUP(B48,'75 - Summary Exhibit'!A:N,12,FALSE)</f>
        <v>-913025</v>
      </c>
      <c r="O48" s="6">
        <f>VLOOKUP(B48,'75 - Summary Exhibit'!A:N,13,FALSE)</f>
        <v>-77629</v>
      </c>
      <c r="P48" s="6">
        <f t="shared" si="12"/>
        <v>-990654</v>
      </c>
      <c r="Q48" s="6">
        <f>VLOOKUP(B48,'75- Deferred Amortization'!A:G,3,FALSE)</f>
        <v>-1012919</v>
      </c>
      <c r="R48" s="6">
        <f>VLOOKUP(B48,'75- Deferred Amortization'!A:G,4,FALSE)</f>
        <v>-649084</v>
      </c>
      <c r="S48" s="6">
        <f>VLOOKUP(B48,'75- Deferred Amortization'!A:G,5,FALSE)</f>
        <v>-580581</v>
      </c>
      <c r="T48" s="6">
        <f>VLOOKUP(B48,'75- Deferred Amortization'!A:G,6,FALSE)</f>
        <v>-283071</v>
      </c>
      <c r="U48" s="6">
        <f>VLOOKUP(B48,'75- Deferred Amortization'!A:G,7,FALSE)</f>
        <v>0</v>
      </c>
      <c r="V48" s="6">
        <f t="shared" si="13"/>
        <v>-8</v>
      </c>
      <c r="W48" s="6">
        <f t="shared" si="14"/>
        <v>-2</v>
      </c>
      <c r="X48">
        <v>2</v>
      </c>
      <c r="Z48" s="226">
        <f>VLOOKUP(B48,'Noncap Contr Alloc'!A:C,3,FALSE)</f>
        <v>62238</v>
      </c>
      <c r="AC48" s="9">
        <v>10374336</v>
      </c>
      <c r="AD48" s="9">
        <v>61249</v>
      </c>
      <c r="AE48" s="9">
        <v>0</v>
      </c>
      <c r="AF48" s="9">
        <v>848531</v>
      </c>
      <c r="AG48" s="6">
        <v>604540</v>
      </c>
      <c r="AH48" s="6">
        <v>193115</v>
      </c>
      <c r="AI48" s="6">
        <v>5307</v>
      </c>
      <c r="AJ48" s="6">
        <v>2521189</v>
      </c>
      <c r="AK48" s="6">
        <v>616950</v>
      </c>
      <c r="AM48" s="6">
        <f t="shared" si="15"/>
        <v>156397</v>
      </c>
      <c r="AN48" s="6">
        <f t="shared" si="16"/>
        <v>-273190</v>
      </c>
      <c r="AO48" s="9">
        <f t="shared" si="17"/>
        <v>18234</v>
      </c>
      <c r="AP48" s="6">
        <f t="shared" si="18"/>
        <v>-170461</v>
      </c>
      <c r="AQ48" s="9">
        <f t="shared" si="19"/>
        <v>-193069</v>
      </c>
      <c r="AR48" s="6">
        <f t="shared" si="20"/>
        <v>1204830</v>
      </c>
      <c r="AS48" s="9">
        <f t="shared" si="21"/>
        <v>-2187507</v>
      </c>
      <c r="AT48" s="9">
        <f t="shared" si="22"/>
        <v>70894</v>
      </c>
      <c r="AU48" s="6">
        <f t="shared" si="23"/>
        <v>-5307</v>
      </c>
    </row>
    <row r="49" spans="1:47" x14ac:dyDescent="0.25">
      <c r="A49" t="s">
        <v>82</v>
      </c>
      <c r="B49">
        <v>35105</v>
      </c>
      <c r="C49" s="6">
        <f>VLOOKUP(B49,'ER Contributions'!A:D,4,FALSE)</f>
        <v>1125336</v>
      </c>
      <c r="D49" s="7">
        <f>VLOOKUP(B49,'ER Contributions'!A:D,3,FALSE)</f>
        <v>9.5140000000000003E-4</v>
      </c>
      <c r="E49" s="9">
        <f>VLOOKUP(B49,'75 - Summary Exhibit'!A:N,3,FALSE)</f>
        <v>22592014</v>
      </c>
      <c r="F49" s="9">
        <f>VLOOKUP(B49,'75 - Summary Exhibit'!A:N,4,FALSE)</f>
        <v>219339</v>
      </c>
      <c r="G49" s="9">
        <f>VLOOKUP(B49,'75 - Summary Exhibit'!A:N,5,FALSE)</f>
        <v>195637</v>
      </c>
      <c r="H49" s="9">
        <f>VLOOKUP(B49,'75 - Summary Exhibit'!A:N,6,FALSE)</f>
        <v>1808784</v>
      </c>
      <c r="I49" s="6">
        <f>VLOOKUP(B49,'75 - Summary Exhibit'!A:N,7,FALSE)</f>
        <v>218728</v>
      </c>
      <c r="J49" s="6">
        <f>VLOOKUP(B49,'75 - Summary Exhibit'!A:N,8,FALSE)</f>
        <v>62514</v>
      </c>
      <c r="K49" s="6">
        <f>VLOOKUP(B49,'75 - Summary Exhibit'!A:N,9,FALSE)</f>
        <v>0</v>
      </c>
      <c r="L49" s="6">
        <f>VLOOKUP(B49,'75 - Summary Exhibit'!A:N,10,FALSE)</f>
        <v>10282157</v>
      </c>
      <c r="M49" s="6">
        <f>VLOOKUP(B49,'75 - Summary Exhibit'!A:N,11,FALSE)</f>
        <v>1777902</v>
      </c>
      <c r="N49" s="6">
        <f>VLOOKUP(B49,'75 - Summary Exhibit'!A:N,12,FALSE)</f>
        <v>-2519545</v>
      </c>
      <c r="O49" s="6">
        <f>VLOOKUP(B49,'75 - Summary Exhibit'!A:N,13,FALSE)</f>
        <v>-806513</v>
      </c>
      <c r="P49" s="6">
        <f t="shared" si="12"/>
        <v>-3326058</v>
      </c>
      <c r="Q49" s="6">
        <f>VLOOKUP(B49,'75- Deferred Amortization'!A:G,3,FALSE)</f>
        <v>-3114721</v>
      </c>
      <c r="R49" s="6">
        <f>VLOOKUP(B49,'75- Deferred Amortization'!A:G,4,FALSE)</f>
        <v>-2296216</v>
      </c>
      <c r="S49" s="6">
        <f>VLOOKUP(B49,'75- Deferred Amortization'!A:G,5,FALSE)</f>
        <v>-2565349</v>
      </c>
      <c r="T49" s="6">
        <f>VLOOKUP(B49,'75- Deferred Amortization'!A:G,6,FALSE)</f>
        <v>-1703801</v>
      </c>
      <c r="U49" s="6">
        <f>VLOOKUP(B49,'75- Deferred Amortization'!A:G,7,FALSE)</f>
        <v>0</v>
      </c>
      <c r="V49" s="6">
        <f t="shared" si="13"/>
        <v>-5</v>
      </c>
      <c r="W49" s="6">
        <f t="shared" si="14"/>
        <v>2</v>
      </c>
      <c r="X49">
        <v>2</v>
      </c>
      <c r="Z49" s="226">
        <f>VLOOKUP(B49,'Noncap Contr Alloc'!A:C,3,FALSE)</f>
        <v>171733</v>
      </c>
      <c r="AC49" s="9">
        <v>30958415</v>
      </c>
      <c r="AD49" s="9">
        <v>182774</v>
      </c>
      <c r="AE49" s="9">
        <v>0</v>
      </c>
      <c r="AF49" s="9">
        <v>2532132</v>
      </c>
      <c r="AG49" s="6">
        <v>400922</v>
      </c>
      <c r="AH49" s="6">
        <v>576280</v>
      </c>
      <c r="AI49" s="6">
        <v>15836</v>
      </c>
      <c r="AJ49" s="6">
        <v>7523568</v>
      </c>
      <c r="AK49" s="6">
        <v>936950</v>
      </c>
      <c r="AM49" s="6">
        <f t="shared" si="15"/>
        <v>-182194</v>
      </c>
      <c r="AN49" s="6">
        <f t="shared" si="16"/>
        <v>840952</v>
      </c>
      <c r="AO49" s="9">
        <f t="shared" si="17"/>
        <v>36565</v>
      </c>
      <c r="AP49" s="6">
        <f t="shared" si="18"/>
        <v>-513766</v>
      </c>
      <c r="AQ49" s="9">
        <f t="shared" si="19"/>
        <v>-723348</v>
      </c>
      <c r="AR49" s="6">
        <f t="shared" si="20"/>
        <v>2758589</v>
      </c>
      <c r="AS49" s="9">
        <f t="shared" si="21"/>
        <v>-8366401</v>
      </c>
      <c r="AT49" s="9">
        <f t="shared" si="22"/>
        <v>195637</v>
      </c>
      <c r="AU49" s="6">
        <f t="shared" si="23"/>
        <v>-15836</v>
      </c>
    </row>
    <row r="50" spans="1:47" x14ac:dyDescent="0.25">
      <c r="A50" t="s">
        <v>84</v>
      </c>
      <c r="B50">
        <v>35405</v>
      </c>
      <c r="C50" s="6">
        <f>VLOOKUP(B50,'ER Contributions'!A:D,4,FALSE)</f>
        <v>887556</v>
      </c>
      <c r="D50" s="7">
        <f>VLOOKUP(B50,'ER Contributions'!A:D,3,FALSE)</f>
        <v>7.4640000000000004E-4</v>
      </c>
      <c r="E50" s="9">
        <f>VLOOKUP(B50,'75 - Summary Exhibit'!A:N,3,FALSE)</f>
        <v>17724558</v>
      </c>
      <c r="F50" s="9">
        <f>VLOOKUP(B50,'75 - Summary Exhibit'!A:N,4,FALSE)</f>
        <v>172082</v>
      </c>
      <c r="G50" s="9">
        <f>VLOOKUP(B50,'75 - Summary Exhibit'!A:N,5,FALSE)</f>
        <v>153487</v>
      </c>
      <c r="H50" s="9">
        <f>VLOOKUP(B50,'75 - Summary Exhibit'!A:N,6,FALSE)</f>
        <v>1419081</v>
      </c>
      <c r="I50" s="6">
        <f>VLOOKUP(B50,'75 - Summary Exhibit'!A:N,7,FALSE)</f>
        <v>278044</v>
      </c>
      <c r="J50" s="6">
        <f>VLOOKUP(B50,'75 - Summary Exhibit'!A:N,8,FALSE)</f>
        <v>49046</v>
      </c>
      <c r="K50" s="6">
        <f>VLOOKUP(B50,'75 - Summary Exhibit'!A:N,9,FALSE)</f>
        <v>0</v>
      </c>
      <c r="L50" s="6">
        <f>VLOOKUP(B50,'75 - Summary Exhibit'!A:N,10,FALSE)</f>
        <v>8066863</v>
      </c>
      <c r="M50" s="6">
        <f>VLOOKUP(B50,'75 - Summary Exhibit'!A:N,11,FALSE)</f>
        <v>3165705</v>
      </c>
      <c r="N50" s="6">
        <f>VLOOKUP(B50,'75 - Summary Exhibit'!A:N,12,FALSE)</f>
        <v>-1976708</v>
      </c>
      <c r="O50" s="6">
        <f>VLOOKUP(B50,'75 - Summary Exhibit'!A:N,13,FALSE)</f>
        <v>-1317468</v>
      </c>
      <c r="P50" s="6">
        <f t="shared" si="12"/>
        <v>-3294176</v>
      </c>
      <c r="Q50" s="6">
        <f>VLOOKUP(B50,'75- Deferred Amortization'!A:G,3,FALSE)</f>
        <v>-3183092</v>
      </c>
      <c r="R50" s="6">
        <f>VLOOKUP(B50,'75- Deferred Amortization'!A:G,4,FALSE)</f>
        <v>-2369836</v>
      </c>
      <c r="S50" s="6">
        <f>VLOOKUP(B50,'75- Deferred Amortization'!A:G,5,FALSE)</f>
        <v>-2308783</v>
      </c>
      <c r="T50" s="6">
        <f>VLOOKUP(B50,'75- Deferred Amortization'!A:G,6,FALSE)</f>
        <v>-1397209</v>
      </c>
      <c r="U50" s="6">
        <f>VLOOKUP(B50,'75- Deferred Amortization'!A:G,7,FALSE)</f>
        <v>0</v>
      </c>
      <c r="V50" s="6">
        <f t="shared" si="13"/>
        <v>-2</v>
      </c>
      <c r="W50" s="6">
        <f t="shared" si="14"/>
        <v>0</v>
      </c>
      <c r="X50">
        <v>2</v>
      </c>
      <c r="Z50" s="226">
        <f>VLOOKUP(B50,'Noncap Contr Alloc'!A:C,3,FALSE)</f>
        <v>134730</v>
      </c>
      <c r="AC50" s="9">
        <v>25099273</v>
      </c>
      <c r="AD50" s="9">
        <v>148182</v>
      </c>
      <c r="AE50" s="9">
        <v>0</v>
      </c>
      <c r="AF50" s="9">
        <v>2052904</v>
      </c>
      <c r="AG50" s="6">
        <v>347555</v>
      </c>
      <c r="AH50" s="6">
        <v>467214</v>
      </c>
      <c r="AI50" s="6">
        <v>12839</v>
      </c>
      <c r="AJ50" s="6">
        <v>6099669</v>
      </c>
      <c r="AK50" s="6">
        <v>2169584</v>
      </c>
      <c r="AM50" s="6">
        <f t="shared" si="15"/>
        <v>-69511</v>
      </c>
      <c r="AN50" s="6">
        <f t="shared" si="16"/>
        <v>996121</v>
      </c>
      <c r="AO50" s="9">
        <f t="shared" si="17"/>
        <v>23900</v>
      </c>
      <c r="AP50" s="6">
        <f t="shared" si="18"/>
        <v>-418168</v>
      </c>
      <c r="AQ50" s="9">
        <f t="shared" si="19"/>
        <v>-633823</v>
      </c>
      <c r="AR50" s="6">
        <f t="shared" si="20"/>
        <v>1967194</v>
      </c>
      <c r="AS50" s="9">
        <f t="shared" si="21"/>
        <v>-7374715</v>
      </c>
      <c r="AT50" s="9">
        <f t="shared" si="22"/>
        <v>153487</v>
      </c>
      <c r="AU50" s="6">
        <f t="shared" si="23"/>
        <v>-12839</v>
      </c>
    </row>
    <row r="51" spans="1:47" x14ac:dyDescent="0.25">
      <c r="A51" t="s">
        <v>85</v>
      </c>
      <c r="B51">
        <v>35805</v>
      </c>
      <c r="C51" s="6">
        <f>VLOOKUP(B51,'ER Contributions'!A:D,4,FALSE)</f>
        <v>292497</v>
      </c>
      <c r="D51" s="7">
        <f>VLOOKUP(B51,'ER Contributions'!A:D,3,FALSE)</f>
        <v>2.12E-4</v>
      </c>
      <c r="E51" s="9">
        <f>VLOOKUP(B51,'75 - Summary Exhibit'!A:N,3,FALSE)</f>
        <v>5034273</v>
      </c>
      <c r="F51" s="9">
        <f>VLOOKUP(B51,'75 - Summary Exhibit'!A:N,4,FALSE)</f>
        <v>48876</v>
      </c>
      <c r="G51" s="9">
        <f>VLOOKUP(B51,'75 - Summary Exhibit'!A:N,5,FALSE)</f>
        <v>43595</v>
      </c>
      <c r="H51" s="9">
        <f>VLOOKUP(B51,'75 - Summary Exhibit'!A:N,6,FALSE)</f>
        <v>403059</v>
      </c>
      <c r="I51" s="6">
        <f>VLOOKUP(B51,'75 - Summary Exhibit'!A:N,7,FALSE)</f>
        <v>332184</v>
      </c>
      <c r="J51" s="6">
        <f>VLOOKUP(B51,'75 - Summary Exhibit'!A:N,8,FALSE)</f>
        <v>13930</v>
      </c>
      <c r="K51" s="6">
        <f>VLOOKUP(B51,'75 - Summary Exhibit'!A:N,9,FALSE)</f>
        <v>0</v>
      </c>
      <c r="L51" s="6">
        <f>VLOOKUP(B51,'75 - Summary Exhibit'!A:N,10,FALSE)</f>
        <v>2291216</v>
      </c>
      <c r="M51" s="6">
        <f>VLOOKUP(B51,'75 - Summary Exhibit'!A:N,11,FALSE)</f>
        <v>203917</v>
      </c>
      <c r="N51" s="6">
        <f>VLOOKUP(B51,'75 - Summary Exhibit'!A:N,12,FALSE)</f>
        <v>-561439</v>
      </c>
      <c r="O51" s="6">
        <f>VLOOKUP(B51,'75 - Summary Exhibit'!A:N,13,FALSE)</f>
        <v>237607</v>
      </c>
      <c r="P51" s="6">
        <f t="shared" si="12"/>
        <v>-323832</v>
      </c>
      <c r="Q51" s="6">
        <f>VLOOKUP(B51,'75- Deferred Amortization'!A:G,3,FALSE)</f>
        <v>-445712</v>
      </c>
      <c r="R51" s="6">
        <f>VLOOKUP(B51,'75- Deferred Amortization'!A:G,4,FALSE)</f>
        <v>-385559</v>
      </c>
      <c r="S51" s="6">
        <f>VLOOKUP(B51,'75- Deferred Amortization'!A:G,5,FALSE)</f>
        <v>-533431</v>
      </c>
      <c r="T51" s="6">
        <f>VLOOKUP(B51,'75- Deferred Amortization'!A:G,6,FALSE)</f>
        <v>-316647</v>
      </c>
      <c r="U51" s="6">
        <f>VLOOKUP(B51,'75- Deferred Amortization'!A:G,7,FALSE)</f>
        <v>0</v>
      </c>
      <c r="V51" s="6">
        <f t="shared" si="13"/>
        <v>3</v>
      </c>
      <c r="W51" s="6">
        <f t="shared" si="14"/>
        <v>0</v>
      </c>
      <c r="X51">
        <v>2</v>
      </c>
      <c r="Z51" s="226">
        <f>VLOOKUP(B51,'Noncap Contr Alloc'!A:C,3,FALSE)</f>
        <v>38267</v>
      </c>
      <c r="AC51" s="9">
        <v>6639557</v>
      </c>
      <c r="AD51" s="9">
        <v>39199</v>
      </c>
      <c r="AE51" s="9">
        <v>0</v>
      </c>
      <c r="AF51" s="9">
        <v>543059</v>
      </c>
      <c r="AG51" s="6">
        <v>625953</v>
      </c>
      <c r="AH51" s="6">
        <v>123593</v>
      </c>
      <c r="AI51" s="6">
        <v>3396</v>
      </c>
      <c r="AJ51" s="6">
        <v>1613557</v>
      </c>
      <c r="AK51" s="6">
        <v>198329</v>
      </c>
      <c r="AM51" s="6">
        <f t="shared" si="15"/>
        <v>-293769</v>
      </c>
      <c r="AN51" s="6">
        <f t="shared" si="16"/>
        <v>5588</v>
      </c>
      <c r="AO51" s="9">
        <f t="shared" si="17"/>
        <v>9677</v>
      </c>
      <c r="AP51" s="6">
        <f t="shared" si="18"/>
        <v>-109663</v>
      </c>
      <c r="AQ51" s="9">
        <f t="shared" si="19"/>
        <v>-140000</v>
      </c>
      <c r="AR51" s="6">
        <f t="shared" si="20"/>
        <v>677659</v>
      </c>
      <c r="AS51" s="9">
        <f t="shared" si="21"/>
        <v>-1605284</v>
      </c>
      <c r="AT51" s="9">
        <f t="shared" si="22"/>
        <v>43595</v>
      </c>
      <c r="AU51" s="6">
        <f t="shared" si="23"/>
        <v>-3396</v>
      </c>
    </row>
    <row r="52" spans="1:47" x14ac:dyDescent="0.25">
      <c r="A52" t="s">
        <v>88</v>
      </c>
      <c r="B52">
        <v>36105</v>
      </c>
      <c r="C52" s="6">
        <f>VLOOKUP(B52,'ER Contributions'!A:D,4,FALSE)</f>
        <v>365616</v>
      </c>
      <c r="D52" s="7">
        <f>VLOOKUP(B52,'ER Contributions'!A:D,3,FALSE)</f>
        <v>2.7970000000000002E-4</v>
      </c>
      <c r="E52" s="9">
        <f>VLOOKUP(B52,'75 - Summary Exhibit'!A:N,3,FALSE)</f>
        <v>6640883</v>
      </c>
      <c r="F52" s="9">
        <f>VLOOKUP(B52,'75 - Summary Exhibit'!A:N,4,FALSE)</f>
        <v>64474</v>
      </c>
      <c r="G52" s="9">
        <f>VLOOKUP(B52,'75 - Summary Exhibit'!A:N,5,FALSE)</f>
        <v>57507</v>
      </c>
      <c r="H52" s="9">
        <f>VLOOKUP(B52,'75 - Summary Exhibit'!A:N,6,FALSE)</f>
        <v>531689</v>
      </c>
      <c r="I52" s="6">
        <f>VLOOKUP(B52,'75 - Summary Exhibit'!A:N,7,FALSE)</f>
        <v>253241</v>
      </c>
      <c r="J52" s="6">
        <f>VLOOKUP(B52,'75 - Summary Exhibit'!A:N,8,FALSE)</f>
        <v>18376</v>
      </c>
      <c r="K52" s="6">
        <f>VLOOKUP(B52,'75 - Summary Exhibit'!A:N,9,FALSE)</f>
        <v>0</v>
      </c>
      <c r="L52" s="6">
        <f>VLOOKUP(B52,'75 - Summary Exhibit'!A:N,10,FALSE)</f>
        <v>3022422</v>
      </c>
      <c r="M52" s="6">
        <f>VLOOKUP(B52,'75 - Summary Exhibit'!A:N,11,FALSE)</f>
        <v>1551984</v>
      </c>
      <c r="N52" s="6">
        <f>VLOOKUP(B52,'75 - Summary Exhibit'!A:N,12,FALSE)</f>
        <v>-740616</v>
      </c>
      <c r="O52" s="6">
        <f>VLOOKUP(B52,'75 - Summary Exhibit'!A:N,13,FALSE)</f>
        <v>-421244</v>
      </c>
      <c r="P52" s="6">
        <f t="shared" si="12"/>
        <v>-1161860</v>
      </c>
      <c r="Q52" s="6">
        <f>VLOOKUP(B52,'75- Deferred Amortization'!A:G,3,FALSE)</f>
        <v>-1241722</v>
      </c>
      <c r="R52" s="6">
        <f>VLOOKUP(B52,'75- Deferred Amortization'!A:G,4,FALSE)</f>
        <v>-983540</v>
      </c>
      <c r="S52" s="6">
        <f>VLOOKUP(B52,'75- Deferred Amortization'!A:G,5,FALSE)</f>
        <v>-822508</v>
      </c>
      <c r="T52" s="6">
        <f>VLOOKUP(B52,'75- Deferred Amortization'!A:G,6,FALSE)</f>
        <v>-638101</v>
      </c>
      <c r="U52" s="6">
        <f>VLOOKUP(B52,'75- Deferred Amortization'!A:G,7,FALSE)</f>
        <v>0</v>
      </c>
      <c r="V52" s="6">
        <f t="shared" si="13"/>
        <v>-8</v>
      </c>
      <c r="W52" s="6">
        <f t="shared" si="14"/>
        <v>0</v>
      </c>
      <c r="X52">
        <v>2</v>
      </c>
      <c r="Z52" s="226">
        <f>VLOOKUP(B52,'Noncap Contr Alloc'!A:C,3,FALSE)</f>
        <v>50488</v>
      </c>
      <c r="AC52" s="9">
        <v>9308234</v>
      </c>
      <c r="AD52" s="9">
        <v>54954</v>
      </c>
      <c r="AE52" s="9">
        <v>0</v>
      </c>
      <c r="AF52" s="9">
        <v>761333</v>
      </c>
      <c r="AG52" s="6">
        <v>358056</v>
      </c>
      <c r="AH52" s="6">
        <v>173270</v>
      </c>
      <c r="AI52" s="6">
        <v>4762</v>
      </c>
      <c r="AJ52" s="6">
        <v>2262103</v>
      </c>
      <c r="AK52" s="6">
        <v>1330684</v>
      </c>
      <c r="AM52" s="6">
        <f t="shared" si="15"/>
        <v>-104815</v>
      </c>
      <c r="AN52" s="6">
        <f t="shared" si="16"/>
        <v>221300</v>
      </c>
      <c r="AO52" s="9">
        <f t="shared" si="17"/>
        <v>9520</v>
      </c>
      <c r="AP52" s="6">
        <f t="shared" si="18"/>
        <v>-154894</v>
      </c>
      <c r="AQ52" s="9">
        <f t="shared" si="19"/>
        <v>-229644</v>
      </c>
      <c r="AR52" s="6">
        <f t="shared" si="20"/>
        <v>760319</v>
      </c>
      <c r="AS52" s="9">
        <f t="shared" si="21"/>
        <v>-2667351</v>
      </c>
      <c r="AT52" s="9">
        <f t="shared" si="22"/>
        <v>57507</v>
      </c>
      <c r="AU52" s="6">
        <f t="shared" si="23"/>
        <v>-4762</v>
      </c>
    </row>
    <row r="53" spans="1:47" x14ac:dyDescent="0.25">
      <c r="A53" t="s">
        <v>86</v>
      </c>
      <c r="B53">
        <v>35905</v>
      </c>
      <c r="C53" s="6">
        <f>VLOOKUP(B53,'ER Contributions'!A:D,4,FALSE)</f>
        <v>370266</v>
      </c>
      <c r="D53" s="7">
        <f>VLOOKUP(B53,'ER Contributions'!A:D,3,FALSE)</f>
        <v>2.4350000000000001E-4</v>
      </c>
      <c r="E53" s="9">
        <f>VLOOKUP(B53,'75 - Summary Exhibit'!A:N,3,FALSE)</f>
        <v>5782252</v>
      </c>
      <c r="F53" s="9">
        <f>VLOOKUP(B53,'75 - Summary Exhibit'!A:N,4,FALSE)</f>
        <v>56138</v>
      </c>
      <c r="G53" s="9">
        <f>VLOOKUP(B53,'75 - Summary Exhibit'!A:N,5,FALSE)</f>
        <v>50072</v>
      </c>
      <c r="H53" s="9">
        <f>VLOOKUP(B53,'75 - Summary Exhibit'!A:N,6,FALSE)</f>
        <v>462944</v>
      </c>
      <c r="I53" s="6">
        <f>VLOOKUP(B53,'75 - Summary Exhibit'!A:N,7,FALSE)</f>
        <v>823376</v>
      </c>
      <c r="J53" s="6">
        <f>VLOOKUP(B53,'75 - Summary Exhibit'!A:N,8,FALSE)</f>
        <v>16000</v>
      </c>
      <c r="K53" s="6">
        <f>VLOOKUP(B53,'75 - Summary Exhibit'!A:N,9,FALSE)</f>
        <v>0</v>
      </c>
      <c r="L53" s="6">
        <f>VLOOKUP(B53,'75 - Summary Exhibit'!A:N,10,FALSE)</f>
        <v>2631639</v>
      </c>
      <c r="M53" s="6">
        <f>VLOOKUP(B53,'75 - Summary Exhibit'!A:N,11,FALSE)</f>
        <v>963567</v>
      </c>
      <c r="N53" s="6">
        <f>VLOOKUP(B53,'75 - Summary Exhibit'!A:N,12,FALSE)</f>
        <v>-644858</v>
      </c>
      <c r="O53" s="6">
        <f>VLOOKUP(B53,'75 - Summary Exhibit'!A:N,13,FALSE)</f>
        <v>-271563</v>
      </c>
      <c r="P53" s="6">
        <f t="shared" si="12"/>
        <v>-916421</v>
      </c>
      <c r="Q53" s="6">
        <f>VLOOKUP(B53,'75- Deferred Amortization'!A:G,3,FALSE)</f>
        <v>-998271</v>
      </c>
      <c r="R53" s="6">
        <f>VLOOKUP(B53,'75- Deferred Amortization'!A:G,4,FALSE)</f>
        <v>-594737</v>
      </c>
      <c r="S53" s="6">
        <f>VLOOKUP(B53,'75- Deferred Amortization'!A:G,5,FALSE)</f>
        <v>-508513</v>
      </c>
      <c r="T53" s="6">
        <f>VLOOKUP(B53,'75- Deferred Amortization'!A:G,6,FALSE)</f>
        <v>-117155</v>
      </c>
      <c r="U53" s="6">
        <f>VLOOKUP(B53,'75- Deferred Amortization'!A:G,7,FALSE)</f>
        <v>0</v>
      </c>
      <c r="V53" s="6">
        <f t="shared" si="13"/>
        <v>-1</v>
      </c>
      <c r="W53" s="6">
        <f t="shared" si="14"/>
        <v>0</v>
      </c>
      <c r="X53">
        <v>2</v>
      </c>
      <c r="Z53" s="226">
        <f>VLOOKUP(B53,'Noncap Contr Alloc'!A:C,3,FALSE)</f>
        <v>43953</v>
      </c>
      <c r="AC53" s="9">
        <v>6909360</v>
      </c>
      <c r="AD53" s="9">
        <v>40792</v>
      </c>
      <c r="AE53" s="9">
        <v>0</v>
      </c>
      <c r="AF53" s="9">
        <v>565126</v>
      </c>
      <c r="AG53" s="6">
        <v>224120</v>
      </c>
      <c r="AH53" s="6">
        <v>128615</v>
      </c>
      <c r="AI53" s="6">
        <v>3534</v>
      </c>
      <c r="AJ53" s="6">
        <v>1679125</v>
      </c>
      <c r="AK53" s="6">
        <v>1440971</v>
      </c>
      <c r="AM53" s="6">
        <f t="shared" si="15"/>
        <v>599256</v>
      </c>
      <c r="AN53" s="6">
        <f t="shared" si="16"/>
        <v>-477404</v>
      </c>
      <c r="AO53" s="9">
        <f t="shared" si="17"/>
        <v>15346</v>
      </c>
      <c r="AP53" s="6">
        <f t="shared" si="18"/>
        <v>-112615</v>
      </c>
      <c r="AQ53" s="9">
        <f t="shared" si="19"/>
        <v>-102182</v>
      </c>
      <c r="AR53" s="6">
        <f t="shared" si="20"/>
        <v>952514</v>
      </c>
      <c r="AS53" s="9">
        <f t="shared" si="21"/>
        <v>-1127108</v>
      </c>
      <c r="AT53" s="9">
        <f t="shared" si="22"/>
        <v>50072</v>
      </c>
      <c r="AU53" s="6">
        <f t="shared" si="23"/>
        <v>-3534</v>
      </c>
    </row>
    <row r="54" spans="1:47" x14ac:dyDescent="0.25">
      <c r="A54" t="s">
        <v>80</v>
      </c>
      <c r="B54">
        <v>34905</v>
      </c>
      <c r="C54" s="6">
        <f>VLOOKUP(B54,'ER Contributions'!A:D,4,FALSE)</f>
        <v>691352</v>
      </c>
      <c r="D54" s="7">
        <f>VLOOKUP(B54,'ER Contributions'!A:D,3,FALSE)</f>
        <v>5.6930000000000001E-4</v>
      </c>
      <c r="E54" s="9">
        <f>VLOOKUP(B54,'75 - Summary Exhibit'!A:N,3,FALSE)</f>
        <v>13520011</v>
      </c>
      <c r="F54" s="9">
        <f>VLOOKUP(B54,'75 - Summary Exhibit'!A:N,4,FALSE)</f>
        <v>131261</v>
      </c>
      <c r="G54" s="9">
        <f>VLOOKUP(B54,'75 - Summary Exhibit'!A:N,5,FALSE)</f>
        <v>117077</v>
      </c>
      <c r="H54" s="9">
        <f>VLOOKUP(B54,'75 - Summary Exhibit'!A:N,6,FALSE)</f>
        <v>1082453</v>
      </c>
      <c r="I54" s="6">
        <f>VLOOKUP(B54,'75 - Summary Exhibit'!A:N,7,FALSE)</f>
        <v>134581</v>
      </c>
      <c r="J54" s="6">
        <f>VLOOKUP(B54,'75 - Summary Exhibit'!A:N,8,FALSE)</f>
        <v>37411</v>
      </c>
      <c r="K54" s="6">
        <f>VLOOKUP(B54,'75 - Summary Exhibit'!A:N,9,FALSE)</f>
        <v>0</v>
      </c>
      <c r="L54" s="6">
        <f>VLOOKUP(B54,'75 - Summary Exhibit'!A:N,10,FALSE)</f>
        <v>6153275</v>
      </c>
      <c r="M54" s="6">
        <f>VLOOKUP(B54,'75 - Summary Exhibit'!A:N,11,FALSE)</f>
        <v>716878</v>
      </c>
      <c r="N54" s="6">
        <f>VLOOKUP(B54,'75 - Summary Exhibit'!A:N,12,FALSE)</f>
        <v>-1507801</v>
      </c>
      <c r="O54" s="6">
        <f>VLOOKUP(B54,'75 - Summary Exhibit'!A:N,13,FALSE)</f>
        <v>-519068</v>
      </c>
      <c r="P54" s="6">
        <f t="shared" si="12"/>
        <v>-2026869</v>
      </c>
      <c r="Q54" s="6">
        <f>VLOOKUP(B54,'75- Deferred Amortization'!A:G,3,FALSE)</f>
        <v>-1842485</v>
      </c>
      <c r="R54" s="6">
        <f>VLOOKUP(B54,'75- Deferred Amortization'!A:G,4,FALSE)</f>
        <v>-1285952</v>
      </c>
      <c r="S54" s="6">
        <f>VLOOKUP(B54,'75- Deferred Amortization'!A:G,5,FALSE)</f>
        <v>-1402939</v>
      </c>
      <c r="T54" s="6">
        <f>VLOOKUP(B54,'75- Deferred Amortization'!A:G,6,FALSE)</f>
        <v>-910816</v>
      </c>
      <c r="U54" s="6">
        <f>VLOOKUP(B54,'75- Deferred Amortization'!A:G,7,FALSE)</f>
        <v>0</v>
      </c>
      <c r="V54" s="6">
        <f t="shared" si="13"/>
        <v>9</v>
      </c>
      <c r="W54" s="6">
        <f t="shared" si="14"/>
        <v>0</v>
      </c>
      <c r="X54">
        <v>2</v>
      </c>
      <c r="Z54" s="226">
        <f>VLOOKUP(B54,'Noncap Contr Alloc'!A:C,3,FALSE)</f>
        <v>102762</v>
      </c>
      <c r="AC54" s="9">
        <v>17772277</v>
      </c>
      <c r="AD54" s="9">
        <v>104925</v>
      </c>
      <c r="AE54" s="9">
        <v>0</v>
      </c>
      <c r="AF54" s="9">
        <v>1453619</v>
      </c>
      <c r="AG54" s="6">
        <v>200372</v>
      </c>
      <c r="AH54" s="6">
        <v>330825</v>
      </c>
      <c r="AI54" s="6">
        <v>9091</v>
      </c>
      <c r="AJ54" s="6">
        <v>4319050</v>
      </c>
      <c r="AK54" s="6">
        <v>1110868</v>
      </c>
      <c r="AM54" s="6">
        <f t="shared" si="15"/>
        <v>-65791</v>
      </c>
      <c r="AN54" s="6">
        <f t="shared" si="16"/>
        <v>-393990</v>
      </c>
      <c r="AO54" s="9">
        <f t="shared" si="17"/>
        <v>26336</v>
      </c>
      <c r="AP54" s="6">
        <f t="shared" si="18"/>
        <v>-293414</v>
      </c>
      <c r="AQ54" s="9">
        <f t="shared" si="19"/>
        <v>-371166</v>
      </c>
      <c r="AR54" s="6">
        <f t="shared" si="20"/>
        <v>1834225</v>
      </c>
      <c r="AS54" s="9">
        <f t="shared" si="21"/>
        <v>-4252266</v>
      </c>
      <c r="AT54" s="9">
        <f t="shared" si="22"/>
        <v>117077</v>
      </c>
      <c r="AU54" s="6">
        <f t="shared" si="23"/>
        <v>-9091</v>
      </c>
    </row>
    <row r="55" spans="1:47" x14ac:dyDescent="0.25">
      <c r="A55" t="s">
        <v>89</v>
      </c>
      <c r="B55">
        <v>36205</v>
      </c>
      <c r="C55" s="6">
        <f>VLOOKUP(B55,'ER Contributions'!A:D,4,FALSE)</f>
        <v>292659</v>
      </c>
      <c r="D55" s="7">
        <f>VLOOKUP(B55,'ER Contributions'!A:D,3,FALSE)</f>
        <v>2.6039999999999999E-4</v>
      </c>
      <c r="E55" s="9">
        <f>VLOOKUP(B55,'75 - Summary Exhibit'!A:N,3,FALSE)</f>
        <v>6183941</v>
      </c>
      <c r="F55" s="9">
        <f>VLOOKUP(B55,'75 - Summary Exhibit'!A:N,4,FALSE)</f>
        <v>60038</v>
      </c>
      <c r="G55" s="9">
        <f>VLOOKUP(B55,'75 - Summary Exhibit'!A:N,5,FALSE)</f>
        <v>53550</v>
      </c>
      <c r="H55" s="9">
        <f>VLOOKUP(B55,'75 - Summary Exhibit'!A:N,6,FALSE)</f>
        <v>495105</v>
      </c>
      <c r="I55" s="6">
        <f>VLOOKUP(B55,'75 - Summary Exhibit'!A:N,7,FALSE)</f>
        <v>427443</v>
      </c>
      <c r="J55" s="6">
        <f>VLOOKUP(B55,'75 - Summary Exhibit'!A:N,8,FALSE)</f>
        <v>17112</v>
      </c>
      <c r="K55" s="6">
        <f>VLOOKUP(B55,'75 - Summary Exhibit'!A:N,9,FALSE)</f>
        <v>0</v>
      </c>
      <c r="L55" s="6">
        <f>VLOOKUP(B55,'75 - Summary Exhibit'!A:N,10,FALSE)</f>
        <v>2814457</v>
      </c>
      <c r="M55" s="6">
        <f>VLOOKUP(B55,'75 - Summary Exhibit'!A:N,11,FALSE)</f>
        <v>146920</v>
      </c>
      <c r="N55" s="6">
        <f>VLOOKUP(B55,'75 - Summary Exhibit'!A:N,12,FALSE)</f>
        <v>-689654</v>
      </c>
      <c r="O55" s="6">
        <f>VLOOKUP(B55,'75 - Summary Exhibit'!A:N,13,FALSE)</f>
        <v>115323</v>
      </c>
      <c r="P55" s="6">
        <f t="shared" si="12"/>
        <v>-574331</v>
      </c>
      <c r="Q55" s="6">
        <f>VLOOKUP(B55,'75- Deferred Amortization'!A:G,3,FALSE)</f>
        <v>-559939</v>
      </c>
      <c r="R55" s="6">
        <f>VLOOKUP(B55,'75- Deferred Amortization'!A:G,4,FALSE)</f>
        <v>-438879</v>
      </c>
      <c r="S55" s="6">
        <f>VLOOKUP(B55,'75- Deferred Amortization'!A:G,5,FALSE)</f>
        <v>-561367</v>
      </c>
      <c r="T55" s="6">
        <f>VLOOKUP(B55,'75- Deferred Amortization'!A:G,6,FALSE)</f>
        <v>-382167</v>
      </c>
      <c r="U55" s="6">
        <f>VLOOKUP(B55,'75- Deferred Amortization'!A:G,7,FALSE)</f>
        <v>0</v>
      </c>
      <c r="V55" s="6">
        <f t="shared" si="13"/>
        <v>4</v>
      </c>
      <c r="W55" s="6">
        <f t="shared" si="14"/>
        <v>-1</v>
      </c>
      <c r="X55">
        <v>2</v>
      </c>
      <c r="Z55" s="226">
        <f>VLOOKUP(B55,'Noncap Contr Alloc'!A:C,3,FALSE)</f>
        <v>47004</v>
      </c>
      <c r="AC55" s="9">
        <v>8064079</v>
      </c>
      <c r="AD55" s="9">
        <v>47609</v>
      </c>
      <c r="AE55" s="9">
        <v>0</v>
      </c>
      <c r="AF55" s="9">
        <v>659572</v>
      </c>
      <c r="AG55" s="6">
        <v>684279</v>
      </c>
      <c r="AH55" s="6">
        <v>150110</v>
      </c>
      <c r="AI55" s="6">
        <v>4125</v>
      </c>
      <c r="AJ55" s="6">
        <v>1959746</v>
      </c>
      <c r="AK55" s="6">
        <v>253692</v>
      </c>
      <c r="AM55" s="6">
        <f t="shared" si="15"/>
        <v>-256836</v>
      </c>
      <c r="AN55" s="6">
        <f t="shared" si="16"/>
        <v>-106772</v>
      </c>
      <c r="AO55" s="9">
        <f t="shared" si="17"/>
        <v>12429</v>
      </c>
      <c r="AP55" s="6">
        <f t="shared" si="18"/>
        <v>-132998</v>
      </c>
      <c r="AQ55" s="9">
        <f t="shared" si="19"/>
        <v>-164467</v>
      </c>
      <c r="AR55" s="6">
        <f t="shared" si="20"/>
        <v>854711</v>
      </c>
      <c r="AS55" s="9">
        <f t="shared" si="21"/>
        <v>-1880138</v>
      </c>
      <c r="AT55" s="9">
        <f t="shared" si="22"/>
        <v>53550</v>
      </c>
      <c r="AU55" s="6">
        <f t="shared" si="23"/>
        <v>-4125</v>
      </c>
    </row>
    <row r="56" spans="1:47" x14ac:dyDescent="0.25">
      <c r="A56" t="s">
        <v>91</v>
      </c>
      <c r="B56">
        <v>36405</v>
      </c>
      <c r="C56" s="6">
        <f>VLOOKUP(B56,'ER Contributions'!A:D,4,FALSE)</f>
        <v>810472</v>
      </c>
      <c r="D56" s="7">
        <f>VLOOKUP(B56,'ER Contributions'!A:D,3,FALSE)</f>
        <v>6.4829999999999998E-4</v>
      </c>
      <c r="E56" s="9">
        <f>VLOOKUP(B56,'75 - Summary Exhibit'!A:N,3,FALSE)</f>
        <v>15394692</v>
      </c>
      <c r="F56" s="9">
        <f>VLOOKUP(B56,'75 - Summary Exhibit'!A:N,4,FALSE)</f>
        <v>149462</v>
      </c>
      <c r="G56" s="9">
        <f>VLOOKUP(B56,'75 - Summary Exhibit'!A:N,5,FALSE)</f>
        <v>133311</v>
      </c>
      <c r="H56" s="9">
        <f>VLOOKUP(B56,'75 - Summary Exhibit'!A:N,6,FALSE)</f>
        <v>1232545</v>
      </c>
      <c r="I56" s="6">
        <f>VLOOKUP(B56,'75 - Summary Exhibit'!A:N,7,FALSE)</f>
        <v>160287</v>
      </c>
      <c r="J56" s="6">
        <f>VLOOKUP(B56,'75 - Summary Exhibit'!A:N,8,FALSE)</f>
        <v>42599</v>
      </c>
      <c r="K56" s="6">
        <f>VLOOKUP(B56,'75 - Summary Exhibit'!A:N,9,FALSE)</f>
        <v>0</v>
      </c>
      <c r="L56" s="6">
        <f>VLOOKUP(B56,'75 - Summary Exhibit'!A:N,10,FALSE)</f>
        <v>7006487</v>
      </c>
      <c r="M56" s="6">
        <f>VLOOKUP(B56,'75 - Summary Exhibit'!A:N,11,FALSE)</f>
        <v>3433085</v>
      </c>
      <c r="N56" s="6">
        <f>VLOOKUP(B56,'75 - Summary Exhibit'!A:N,12,FALSE)</f>
        <v>-1716874</v>
      </c>
      <c r="O56" s="6">
        <f>VLOOKUP(B56,'75 - Summary Exhibit'!A:N,13,FALSE)</f>
        <v>-1026460</v>
      </c>
      <c r="P56" s="6">
        <f t="shared" si="12"/>
        <v>-2743334</v>
      </c>
      <c r="Q56" s="6">
        <f>VLOOKUP(B56,'75- Deferred Amortization'!A:G,3,FALSE)</f>
        <v>-2903244</v>
      </c>
      <c r="R56" s="6">
        <f>VLOOKUP(B56,'75- Deferred Amortization'!A:G,4,FALSE)</f>
        <v>-2394081</v>
      </c>
      <c r="S56" s="6">
        <f>VLOOKUP(B56,'75- Deferred Amortization'!A:G,5,FALSE)</f>
        <v>-2194909</v>
      </c>
      <c r="T56" s="6">
        <f>VLOOKUP(B56,'75- Deferred Amortization'!A:G,6,FALSE)</f>
        <v>-1314331</v>
      </c>
      <c r="U56" s="6">
        <f>VLOOKUP(B56,'75- Deferred Amortization'!A:G,7,FALSE)</f>
        <v>0</v>
      </c>
      <c r="V56" s="6">
        <f t="shared" si="13"/>
        <v>-6</v>
      </c>
      <c r="W56" s="6">
        <f t="shared" si="14"/>
        <v>-1</v>
      </c>
      <c r="X56">
        <v>2</v>
      </c>
      <c r="Z56" s="226">
        <f>VLOOKUP(B56,'Noncap Contr Alloc'!A:C,3,FALSE)</f>
        <v>117022</v>
      </c>
      <c r="AC56" s="9">
        <v>21172362</v>
      </c>
      <c r="AD56" s="9">
        <v>124999</v>
      </c>
      <c r="AE56" s="9">
        <v>0</v>
      </c>
      <c r="AF56" s="9">
        <v>1731717</v>
      </c>
      <c r="AG56" s="6">
        <v>320574</v>
      </c>
      <c r="AH56" s="6">
        <v>394116</v>
      </c>
      <c r="AI56" s="6">
        <v>10831</v>
      </c>
      <c r="AJ56" s="6">
        <v>5145344</v>
      </c>
      <c r="AK56" s="6">
        <v>3326717</v>
      </c>
      <c r="AM56" s="6">
        <f t="shared" si="15"/>
        <v>-160287</v>
      </c>
      <c r="AN56" s="6">
        <f t="shared" si="16"/>
        <v>106368</v>
      </c>
      <c r="AO56" s="9">
        <f t="shared" si="17"/>
        <v>24463</v>
      </c>
      <c r="AP56" s="6">
        <f t="shared" si="18"/>
        <v>-351517</v>
      </c>
      <c r="AQ56" s="9">
        <f t="shared" si="19"/>
        <v>-499172</v>
      </c>
      <c r="AR56" s="6">
        <f t="shared" si="20"/>
        <v>1861143</v>
      </c>
      <c r="AS56" s="9">
        <f t="shared" si="21"/>
        <v>-5777670</v>
      </c>
      <c r="AT56" s="9">
        <f t="shared" si="22"/>
        <v>133311</v>
      </c>
      <c r="AU56" s="6">
        <f t="shared" si="23"/>
        <v>-10831</v>
      </c>
    </row>
    <row r="57" spans="1:47" x14ac:dyDescent="0.25">
      <c r="A57" t="s">
        <v>94</v>
      </c>
      <c r="B57">
        <v>36905</v>
      </c>
      <c r="C57" s="6">
        <f>VLOOKUP(B57,'ER Contributions'!A:D,4,FALSE)</f>
        <v>236635</v>
      </c>
      <c r="D57" s="7">
        <f>VLOOKUP(B57,'ER Contributions'!A:D,3,FALSE)</f>
        <v>1.841E-4</v>
      </c>
      <c r="E57" s="9">
        <f>VLOOKUP(B57,'75 - Summary Exhibit'!A:N,3,FALSE)</f>
        <v>4372546</v>
      </c>
      <c r="F57" s="9">
        <f>VLOOKUP(B57,'75 - Summary Exhibit'!A:N,4,FALSE)</f>
        <v>42452</v>
      </c>
      <c r="G57" s="9">
        <f>VLOOKUP(B57,'75 - Summary Exhibit'!A:N,5,FALSE)</f>
        <v>37864</v>
      </c>
      <c r="H57" s="9">
        <f>VLOOKUP(B57,'75 - Summary Exhibit'!A:N,6,FALSE)</f>
        <v>350079</v>
      </c>
      <c r="I57" s="6">
        <f>VLOOKUP(B57,'75 - Summary Exhibit'!A:N,7,FALSE)</f>
        <v>277030</v>
      </c>
      <c r="J57" s="6">
        <f>VLOOKUP(B57,'75 - Summary Exhibit'!A:N,8,FALSE)</f>
        <v>12099</v>
      </c>
      <c r="K57" s="6">
        <f>VLOOKUP(B57,'75 - Summary Exhibit'!A:N,9,FALSE)</f>
        <v>0</v>
      </c>
      <c r="L57" s="6">
        <f>VLOOKUP(B57,'75 - Summary Exhibit'!A:N,10,FALSE)</f>
        <v>1990049</v>
      </c>
      <c r="M57" s="6">
        <f>VLOOKUP(B57,'75 - Summary Exhibit'!A:N,11,FALSE)</f>
        <v>518245</v>
      </c>
      <c r="N57" s="6">
        <f>VLOOKUP(B57,'75 - Summary Exhibit'!A:N,12,FALSE)</f>
        <v>-487642</v>
      </c>
      <c r="O57" s="6">
        <f>VLOOKUP(B57,'75 - Summary Exhibit'!A:N,13,FALSE)</f>
        <v>132582</v>
      </c>
      <c r="P57" s="6">
        <f t="shared" si="12"/>
        <v>-355060</v>
      </c>
      <c r="Q57" s="6">
        <f>VLOOKUP(B57,'75- Deferred Amortization'!A:G,3,FALSE)</f>
        <v>-523228</v>
      </c>
      <c r="R57" s="6">
        <f>VLOOKUP(B57,'75- Deferred Amortization'!A:G,4,FALSE)</f>
        <v>-395232</v>
      </c>
      <c r="S57" s="6">
        <f>VLOOKUP(B57,'75- Deferred Amortization'!A:G,5,FALSE)</f>
        <v>-555797</v>
      </c>
      <c r="T57" s="6">
        <f>VLOOKUP(B57,'75- Deferred Amortization'!A:G,6,FALSE)</f>
        <v>-338711</v>
      </c>
      <c r="U57" s="6">
        <f>VLOOKUP(B57,'75- Deferred Amortization'!A:G,7,FALSE)</f>
        <v>0</v>
      </c>
      <c r="V57" s="6">
        <f t="shared" si="13"/>
        <v>6</v>
      </c>
      <c r="W57" s="6">
        <f t="shared" si="14"/>
        <v>0</v>
      </c>
      <c r="X57">
        <v>2</v>
      </c>
      <c r="Z57" s="226">
        <f>VLOOKUP(B57,'Noncap Contr Alloc'!A:C,3,FALSE)</f>
        <v>33231</v>
      </c>
      <c r="AC57" s="9">
        <v>5978739</v>
      </c>
      <c r="AD57" s="9">
        <v>35298</v>
      </c>
      <c r="AE57" s="9">
        <v>0</v>
      </c>
      <c r="AF57" s="9">
        <v>489009</v>
      </c>
      <c r="AG57" s="6">
        <v>550871</v>
      </c>
      <c r="AH57" s="6">
        <v>111292</v>
      </c>
      <c r="AI57" s="6">
        <v>3058</v>
      </c>
      <c r="AJ57" s="6">
        <v>1452963</v>
      </c>
      <c r="AK57" s="6">
        <v>339572</v>
      </c>
      <c r="AM57" s="6">
        <f t="shared" si="15"/>
        <v>-273841</v>
      </c>
      <c r="AN57" s="6">
        <f t="shared" si="16"/>
        <v>178673</v>
      </c>
      <c r="AO57" s="9">
        <f t="shared" si="17"/>
        <v>7154</v>
      </c>
      <c r="AP57" s="6">
        <f t="shared" si="18"/>
        <v>-99193</v>
      </c>
      <c r="AQ57" s="9">
        <f t="shared" si="19"/>
        <v>-138930</v>
      </c>
      <c r="AR57" s="6">
        <f t="shared" si="20"/>
        <v>537086</v>
      </c>
      <c r="AS57" s="9">
        <f t="shared" si="21"/>
        <v>-1606193</v>
      </c>
      <c r="AT57" s="9">
        <f t="shared" si="22"/>
        <v>37864</v>
      </c>
      <c r="AU57" s="6">
        <f t="shared" si="23"/>
        <v>-3058</v>
      </c>
    </row>
    <row r="58" spans="1:47" x14ac:dyDescent="0.25">
      <c r="A58" t="s">
        <v>96</v>
      </c>
      <c r="B58">
        <v>37305</v>
      </c>
      <c r="C58" s="6">
        <f>VLOOKUP(B58,'ER Contributions'!A:D,4,FALSE)</f>
        <v>515370</v>
      </c>
      <c r="D58" s="7">
        <f>VLOOKUP(B58,'ER Contributions'!A:D,3,FALSE)</f>
        <v>3.6620000000000001E-4</v>
      </c>
      <c r="E58" s="9">
        <f>VLOOKUP(B58,'75 - Summary Exhibit'!A:N,3,FALSE)</f>
        <v>8695712</v>
      </c>
      <c r="F58" s="9">
        <f>VLOOKUP(B58,'75 - Summary Exhibit'!A:N,4,FALSE)</f>
        <v>84424</v>
      </c>
      <c r="G58" s="9">
        <f>VLOOKUP(B58,'75 - Summary Exhibit'!A:N,5,FALSE)</f>
        <v>75301</v>
      </c>
      <c r="H58" s="9">
        <f>VLOOKUP(B58,'75 - Summary Exhibit'!A:N,6,FALSE)</f>
        <v>696205</v>
      </c>
      <c r="I58" s="6">
        <f>VLOOKUP(B58,'75 - Summary Exhibit'!A:N,7,FALSE)</f>
        <v>229148</v>
      </c>
      <c r="J58" s="6">
        <f>VLOOKUP(B58,'75 - Summary Exhibit'!A:N,8,FALSE)</f>
        <v>24062</v>
      </c>
      <c r="K58" s="6">
        <f>VLOOKUP(B58,'75 - Summary Exhibit'!A:N,9,FALSE)</f>
        <v>0</v>
      </c>
      <c r="L58" s="6">
        <f>VLOOKUP(B58,'75 - Summary Exhibit'!A:N,10,FALSE)</f>
        <v>3957623</v>
      </c>
      <c r="M58" s="6">
        <f>VLOOKUP(B58,'75 - Summary Exhibit'!A:N,11,FALSE)</f>
        <v>900098</v>
      </c>
      <c r="N58" s="6">
        <f>VLOOKUP(B58,'75 - Summary Exhibit'!A:N,12,FALSE)</f>
        <v>-969778</v>
      </c>
      <c r="O58" s="6">
        <f>VLOOKUP(B58,'75 - Summary Exhibit'!A:N,13,FALSE)</f>
        <v>-728643</v>
      </c>
      <c r="P58" s="6">
        <f t="shared" si="12"/>
        <v>-1698421</v>
      </c>
      <c r="Q58" s="6">
        <f>VLOOKUP(B58,'75- Deferred Amortization'!A:G,3,FALSE)</f>
        <v>-1378918</v>
      </c>
      <c r="R58" s="6">
        <f>VLOOKUP(B58,'75- Deferred Amortization'!A:G,4,FALSE)</f>
        <v>-958309</v>
      </c>
      <c r="S58" s="6">
        <f>VLOOKUP(B58,'75- Deferred Amortization'!A:G,5,FALSE)</f>
        <v>-990386</v>
      </c>
      <c r="T58" s="6">
        <f>VLOOKUP(B58,'75- Deferred Amortization'!A:G,6,FALSE)</f>
        <v>-469093</v>
      </c>
      <c r="U58" s="6">
        <f>VLOOKUP(B58,'75- Deferred Amortization'!A:G,7,FALSE)</f>
        <v>0</v>
      </c>
      <c r="V58" s="6">
        <f t="shared" si="13"/>
        <v>-3</v>
      </c>
      <c r="W58" s="6">
        <f t="shared" si="14"/>
        <v>1</v>
      </c>
      <c r="X58">
        <v>2</v>
      </c>
      <c r="Z58" s="226">
        <f>VLOOKUP(B58,'Noncap Contr Alloc'!A:C,3,FALSE)</f>
        <v>66101</v>
      </c>
      <c r="AC58" s="9">
        <v>11559328</v>
      </c>
      <c r="AD58" s="9">
        <v>68245</v>
      </c>
      <c r="AE58" s="9">
        <v>0</v>
      </c>
      <c r="AF58" s="9">
        <v>945454</v>
      </c>
      <c r="AG58" s="6">
        <v>286435</v>
      </c>
      <c r="AH58" s="6">
        <v>215173</v>
      </c>
      <c r="AI58" s="6">
        <v>5913</v>
      </c>
      <c r="AJ58" s="6">
        <v>2809168</v>
      </c>
      <c r="AK58" s="6">
        <v>1482858</v>
      </c>
      <c r="AM58" s="6">
        <f t="shared" si="15"/>
        <v>-57287</v>
      </c>
      <c r="AN58" s="6">
        <f t="shared" si="16"/>
        <v>-582760</v>
      </c>
      <c r="AO58" s="9">
        <f t="shared" si="17"/>
        <v>16179</v>
      </c>
      <c r="AP58" s="6">
        <f t="shared" si="18"/>
        <v>-191111</v>
      </c>
      <c r="AQ58" s="9">
        <f t="shared" si="19"/>
        <v>-249249</v>
      </c>
      <c r="AR58" s="6">
        <f t="shared" si="20"/>
        <v>1148455</v>
      </c>
      <c r="AS58" s="9">
        <f t="shared" si="21"/>
        <v>-2863616</v>
      </c>
      <c r="AT58" s="9">
        <f t="shared" si="22"/>
        <v>75301</v>
      </c>
      <c r="AU58" s="6">
        <f t="shared" si="23"/>
        <v>-5913</v>
      </c>
    </row>
    <row r="59" spans="1:47" x14ac:dyDescent="0.25">
      <c r="A59" t="s">
        <v>97</v>
      </c>
      <c r="B59">
        <v>37405</v>
      </c>
      <c r="C59" s="6">
        <f>VLOOKUP(B59,'ER Contributions'!A:D,4,FALSE)</f>
        <v>1923405</v>
      </c>
      <c r="D59" s="7">
        <f>VLOOKUP(B59,'ER Contributions'!A:D,3,FALSE)</f>
        <v>1.5510000000000001E-3</v>
      </c>
      <c r="E59" s="9">
        <f>VLOOKUP(B59,'75 - Summary Exhibit'!A:N,3,FALSE)</f>
        <v>36830465</v>
      </c>
      <c r="F59" s="9">
        <f>VLOOKUP(B59,'75 - Summary Exhibit'!A:N,4,FALSE)</f>
        <v>357575</v>
      </c>
      <c r="G59" s="9">
        <f>VLOOKUP(B59,'75 - Summary Exhibit'!A:N,5,FALSE)</f>
        <v>318936</v>
      </c>
      <c r="H59" s="9">
        <f>VLOOKUP(B59,'75 - Summary Exhibit'!A:N,6,FALSE)</f>
        <v>2948757</v>
      </c>
      <c r="I59" s="6">
        <f>VLOOKUP(B59,'75 - Summary Exhibit'!A:N,7,FALSE)</f>
        <v>778208</v>
      </c>
      <c r="J59" s="6">
        <f>VLOOKUP(B59,'75 - Summary Exhibit'!A:N,8,FALSE)</f>
        <v>101914</v>
      </c>
      <c r="K59" s="6">
        <f>VLOOKUP(B59,'75 - Summary Exhibit'!A:N,9,FALSE)</f>
        <v>0</v>
      </c>
      <c r="L59" s="6">
        <f>VLOOKUP(B59,'75 - Summary Exhibit'!A:N,10,FALSE)</f>
        <v>16762412</v>
      </c>
      <c r="M59" s="6">
        <f>VLOOKUP(B59,'75 - Summary Exhibit'!A:N,11,FALSE)</f>
        <v>4390670</v>
      </c>
      <c r="N59" s="6">
        <f>VLOOKUP(B59,'75 - Summary Exhibit'!A:N,12,FALSE)</f>
        <v>-4107468</v>
      </c>
      <c r="O59" s="6">
        <f>VLOOKUP(B59,'75 - Summary Exhibit'!A:N,13,FALSE)</f>
        <v>-1676168</v>
      </c>
      <c r="P59" s="6">
        <f t="shared" si="12"/>
        <v>-5783636</v>
      </c>
      <c r="Q59" s="6">
        <f>VLOOKUP(B59,'75- Deferred Amortization'!A:G,3,FALSE)</f>
        <v>-5899760</v>
      </c>
      <c r="R59" s="6">
        <f>VLOOKUP(B59,'75- Deferred Amortization'!A:G,4,FALSE)</f>
        <v>-4634001</v>
      </c>
      <c r="S59" s="6">
        <f>VLOOKUP(B59,'75- Deferred Amortization'!A:G,5,FALSE)</f>
        <v>-4199885</v>
      </c>
      <c r="T59" s="6">
        <f>VLOOKUP(B59,'75- Deferred Amortization'!A:G,6,FALSE)</f>
        <v>-2117872</v>
      </c>
      <c r="U59" s="6">
        <f>VLOOKUP(B59,'75- Deferred Amortization'!A:G,7,FALSE)</f>
        <v>0</v>
      </c>
      <c r="V59" s="6">
        <f t="shared" si="13"/>
        <v>-6</v>
      </c>
      <c r="W59" s="6">
        <f t="shared" si="14"/>
        <v>-2</v>
      </c>
      <c r="X59">
        <v>2</v>
      </c>
      <c r="Z59" s="226">
        <f>VLOOKUP(B59,'Noncap Contr Alloc'!A:C,3,FALSE)</f>
        <v>279965</v>
      </c>
      <c r="AC59" s="9">
        <v>48734068</v>
      </c>
      <c r="AD59" s="9">
        <v>287719</v>
      </c>
      <c r="AE59" s="9">
        <v>0</v>
      </c>
      <c r="AF59" s="9">
        <v>3986027</v>
      </c>
      <c r="AG59" s="6">
        <v>1224643</v>
      </c>
      <c r="AH59" s="6">
        <v>907168</v>
      </c>
      <c r="AI59" s="6">
        <v>24929</v>
      </c>
      <c r="AJ59" s="6">
        <v>11843438</v>
      </c>
      <c r="AK59" s="6">
        <v>5657771</v>
      </c>
      <c r="AM59" s="6">
        <f t="shared" si="15"/>
        <v>-446435</v>
      </c>
      <c r="AN59" s="6">
        <f t="shared" si="16"/>
        <v>-1267101</v>
      </c>
      <c r="AO59" s="9">
        <f t="shared" si="17"/>
        <v>69856</v>
      </c>
      <c r="AP59" s="6">
        <f t="shared" si="18"/>
        <v>-805254</v>
      </c>
      <c r="AQ59" s="9">
        <f t="shared" si="19"/>
        <v>-1037270</v>
      </c>
      <c r="AR59" s="6">
        <f t="shared" si="20"/>
        <v>4918974</v>
      </c>
      <c r="AS59" s="9">
        <f t="shared" si="21"/>
        <v>-11903603</v>
      </c>
      <c r="AT59" s="9">
        <f t="shared" si="22"/>
        <v>318936</v>
      </c>
      <c r="AU59" s="6">
        <f t="shared" si="23"/>
        <v>-24929</v>
      </c>
    </row>
    <row r="60" spans="1:47" x14ac:dyDescent="0.25">
      <c r="A60" t="s">
        <v>98</v>
      </c>
      <c r="B60">
        <v>37605</v>
      </c>
      <c r="C60" s="6">
        <f>VLOOKUP(B60,'ER Contributions'!A:D,4,FALSE)</f>
        <v>763368</v>
      </c>
      <c r="D60" s="7">
        <f>VLOOKUP(B60,'ER Contributions'!A:D,3,FALSE)</f>
        <v>6.1499999999999999E-4</v>
      </c>
      <c r="E60" s="9">
        <f>VLOOKUP(B60,'75 - Summary Exhibit'!A:N,3,FALSE)</f>
        <v>14605150</v>
      </c>
      <c r="F60" s="9">
        <f>VLOOKUP(B60,'75 - Summary Exhibit'!A:N,4,FALSE)</f>
        <v>141797</v>
      </c>
      <c r="G60" s="9">
        <f>VLOOKUP(B60,'75 - Summary Exhibit'!A:N,5,FALSE)</f>
        <v>126474</v>
      </c>
      <c r="H60" s="9">
        <f>VLOOKUP(B60,'75 - Summary Exhibit'!A:N,6,FALSE)</f>
        <v>1169332</v>
      </c>
      <c r="I60" s="6">
        <f>VLOOKUP(B60,'75 - Summary Exhibit'!A:N,7,FALSE)</f>
        <v>84154</v>
      </c>
      <c r="J60" s="6">
        <f>VLOOKUP(B60,'75 - Summary Exhibit'!A:N,8,FALSE)</f>
        <v>40414</v>
      </c>
      <c r="K60" s="6">
        <f>VLOOKUP(B60,'75 - Summary Exhibit'!A:N,9,FALSE)</f>
        <v>0</v>
      </c>
      <c r="L60" s="6">
        <f>VLOOKUP(B60,'75 - Summary Exhibit'!A:N,10,FALSE)</f>
        <v>6647148</v>
      </c>
      <c r="M60" s="6">
        <f>VLOOKUP(B60,'75 - Summary Exhibit'!A:N,11,FALSE)</f>
        <v>1136129</v>
      </c>
      <c r="N60" s="6">
        <f>VLOOKUP(B60,'75 - Summary Exhibit'!A:N,12,FALSE)</f>
        <v>-1628820</v>
      </c>
      <c r="O60" s="6">
        <f>VLOOKUP(B60,'75 - Summary Exhibit'!A:N,13,FALSE)</f>
        <v>-385251</v>
      </c>
      <c r="P60" s="6">
        <f t="shared" si="12"/>
        <v>-2014071</v>
      </c>
      <c r="Q60" s="6">
        <f>VLOOKUP(B60,'75- Deferred Amortization'!A:G,3,FALSE)</f>
        <v>-2124477</v>
      </c>
      <c r="R60" s="6">
        <f>VLOOKUP(B60,'75- Deferred Amortization'!A:G,4,FALSE)</f>
        <v>-1573514</v>
      </c>
      <c r="S60" s="6">
        <f>VLOOKUP(B60,'75- Deferred Amortization'!A:G,5,FALSE)</f>
        <v>-1631402</v>
      </c>
      <c r="T60" s="6">
        <f>VLOOKUP(B60,'75- Deferred Amortization'!A:G,6,FALSE)</f>
        <v>-972540</v>
      </c>
      <c r="U60" s="6">
        <f>VLOOKUP(B60,'75- Deferred Amortization'!A:G,7,FALSE)</f>
        <v>0</v>
      </c>
      <c r="V60" s="6">
        <f t="shared" si="13"/>
        <v>7</v>
      </c>
      <c r="W60" s="6">
        <f t="shared" si="14"/>
        <v>-1</v>
      </c>
      <c r="X60">
        <v>2</v>
      </c>
      <c r="Z60" s="226">
        <f>VLOOKUP(B60,'Noncap Contr Alloc'!A:C,3,FALSE)</f>
        <v>111011</v>
      </c>
      <c r="AC60" s="9">
        <v>19184464</v>
      </c>
      <c r="AD60" s="9">
        <v>113262</v>
      </c>
      <c r="AE60" s="9">
        <v>0</v>
      </c>
      <c r="AF60" s="9">
        <v>1569124</v>
      </c>
      <c r="AG60" s="6">
        <v>168308</v>
      </c>
      <c r="AH60" s="6">
        <v>357112</v>
      </c>
      <c r="AI60" s="6">
        <v>9814</v>
      </c>
      <c r="AJ60" s="6">
        <v>4662242</v>
      </c>
      <c r="AK60" s="6">
        <v>1432603</v>
      </c>
      <c r="AM60" s="6">
        <f t="shared" si="15"/>
        <v>-84154</v>
      </c>
      <c r="AN60" s="6">
        <f t="shared" si="16"/>
        <v>-296474</v>
      </c>
      <c r="AO60" s="9">
        <f t="shared" si="17"/>
        <v>28535</v>
      </c>
      <c r="AP60" s="6">
        <f t="shared" si="18"/>
        <v>-316698</v>
      </c>
      <c r="AQ60" s="9">
        <f t="shared" si="19"/>
        <v>-399792</v>
      </c>
      <c r="AR60" s="6">
        <f t="shared" si="20"/>
        <v>1984906</v>
      </c>
      <c r="AS60" s="9">
        <f t="shared" si="21"/>
        <v>-4579314</v>
      </c>
      <c r="AT60" s="9">
        <f t="shared" si="22"/>
        <v>126474</v>
      </c>
      <c r="AU60" s="6">
        <f t="shared" si="23"/>
        <v>-9814</v>
      </c>
    </row>
    <row r="61" spans="1:47" x14ac:dyDescent="0.25">
      <c r="A61" t="s">
        <v>99</v>
      </c>
      <c r="B61">
        <v>37705</v>
      </c>
      <c r="C61" s="6">
        <f>VLOOKUP(B61,'ER Contributions'!A:D,4,FALSE)</f>
        <v>831374</v>
      </c>
      <c r="D61" s="7">
        <f>VLOOKUP(B61,'ER Contributions'!A:D,3,FALSE)</f>
        <v>6.1050000000000004E-4</v>
      </c>
      <c r="E61" s="9">
        <f>VLOOKUP(B61,'75 - Summary Exhibit'!A:N,3,FALSE)</f>
        <v>14496864</v>
      </c>
      <c r="F61" s="9">
        <f>VLOOKUP(B61,'75 - Summary Exhibit'!A:N,4,FALSE)</f>
        <v>140745</v>
      </c>
      <c r="G61" s="9">
        <f>VLOOKUP(B61,'75 - Summary Exhibit'!A:N,5,FALSE)</f>
        <v>125537</v>
      </c>
      <c r="H61" s="9">
        <f>VLOOKUP(B61,'75 - Summary Exhibit'!A:N,6,FALSE)</f>
        <v>1160662</v>
      </c>
      <c r="I61" s="6">
        <f>VLOOKUP(B61,'75 - Summary Exhibit'!A:N,7,FALSE)</f>
        <v>283374</v>
      </c>
      <c r="J61" s="6">
        <f>VLOOKUP(B61,'75 - Summary Exhibit'!A:N,8,FALSE)</f>
        <v>40114</v>
      </c>
      <c r="K61" s="6">
        <f>VLOOKUP(B61,'75 - Summary Exhibit'!A:N,9,FALSE)</f>
        <v>0</v>
      </c>
      <c r="L61" s="6">
        <f>VLOOKUP(B61,'75 - Summary Exhibit'!A:N,10,FALSE)</f>
        <v>6597864</v>
      </c>
      <c r="M61" s="6">
        <f>VLOOKUP(B61,'75 - Summary Exhibit'!A:N,11,FALSE)</f>
        <v>2091528</v>
      </c>
      <c r="N61" s="6">
        <f>VLOOKUP(B61,'75 - Summary Exhibit'!A:N,12,FALSE)</f>
        <v>-1616742</v>
      </c>
      <c r="O61" s="6">
        <f>VLOOKUP(B61,'75 - Summary Exhibit'!A:N,13,FALSE)</f>
        <v>-513127</v>
      </c>
      <c r="P61" s="6">
        <f t="shared" si="12"/>
        <v>-2129869</v>
      </c>
      <c r="Q61" s="6">
        <f>VLOOKUP(B61,'75- Deferred Amortization'!A:G,3,FALSE)</f>
        <v>-2196223</v>
      </c>
      <c r="R61" s="6">
        <f>VLOOKUP(B61,'75- Deferred Amortization'!A:G,4,FALSE)</f>
        <v>-1849189</v>
      </c>
      <c r="S61" s="6">
        <f>VLOOKUP(B61,'75- Deferred Amortization'!A:G,5,FALSE)</f>
        <v>-1913329</v>
      </c>
      <c r="T61" s="6">
        <f>VLOOKUP(B61,'75- Deferred Amortization'!A:G,6,FALSE)</f>
        <v>-1060447</v>
      </c>
      <c r="U61" s="6">
        <f>VLOOKUP(B61,'75- Deferred Amortization'!A:G,7,FALSE)</f>
        <v>0</v>
      </c>
      <c r="V61" s="6">
        <f t="shared" si="13"/>
        <v>-1</v>
      </c>
      <c r="W61" s="6">
        <f t="shared" si="14"/>
        <v>0</v>
      </c>
      <c r="X61">
        <v>2</v>
      </c>
      <c r="Z61" s="226">
        <f>VLOOKUP(B61,'Noncap Contr Alloc'!A:C,3,FALSE)</f>
        <v>110199</v>
      </c>
      <c r="AC61" s="9">
        <v>19792552</v>
      </c>
      <c r="AD61" s="9">
        <v>116852</v>
      </c>
      <c r="AE61" s="9">
        <v>0</v>
      </c>
      <c r="AF61" s="9">
        <v>1618860</v>
      </c>
      <c r="AG61" s="6">
        <v>566748</v>
      </c>
      <c r="AH61" s="6">
        <v>368432</v>
      </c>
      <c r="AI61" s="6">
        <v>10125</v>
      </c>
      <c r="AJ61" s="6">
        <v>4810020</v>
      </c>
      <c r="AK61" s="6">
        <v>1908824</v>
      </c>
      <c r="AM61" s="6">
        <f t="shared" si="15"/>
        <v>-283374</v>
      </c>
      <c r="AN61" s="6">
        <f t="shared" si="16"/>
        <v>182704</v>
      </c>
      <c r="AO61" s="9">
        <f t="shared" si="17"/>
        <v>23893</v>
      </c>
      <c r="AP61" s="6">
        <f t="shared" si="18"/>
        <v>-328318</v>
      </c>
      <c r="AQ61" s="9">
        <f t="shared" si="19"/>
        <v>-458198</v>
      </c>
      <c r="AR61" s="6">
        <f t="shared" si="20"/>
        <v>1787844</v>
      </c>
      <c r="AS61" s="9">
        <f t="shared" si="21"/>
        <v>-5295688</v>
      </c>
      <c r="AT61" s="9">
        <f t="shared" si="22"/>
        <v>125537</v>
      </c>
      <c r="AU61" s="6">
        <f t="shared" si="23"/>
        <v>-10125</v>
      </c>
    </row>
    <row r="62" spans="1:47" x14ac:dyDescent="0.25">
      <c r="A62" t="s">
        <v>79</v>
      </c>
      <c r="B62">
        <v>34605</v>
      </c>
      <c r="C62" s="6">
        <f>VLOOKUP(B62,'ER Contributions'!A:D,4,FALSE)</f>
        <v>212899</v>
      </c>
      <c r="D62" s="7">
        <f>VLOOKUP(B62,'ER Contributions'!A:D,3,FALSE)</f>
        <v>1.606E-4</v>
      </c>
      <c r="E62" s="9">
        <f>VLOOKUP(B62,'75 - Summary Exhibit'!A:N,3,FALSE)</f>
        <v>3814293</v>
      </c>
      <c r="F62" s="9">
        <f>VLOOKUP(B62,'75 - Summary Exhibit'!A:N,4,FALSE)</f>
        <v>37032</v>
      </c>
      <c r="G62" s="9">
        <f>VLOOKUP(B62,'75 - Summary Exhibit'!A:N,5,FALSE)</f>
        <v>33030</v>
      </c>
      <c r="H62" s="9">
        <f>VLOOKUP(B62,'75 - Summary Exhibit'!A:N,6,FALSE)</f>
        <v>305384</v>
      </c>
      <c r="I62" s="6">
        <f>VLOOKUP(B62,'75 - Summary Exhibit'!A:N,7,FALSE)</f>
        <v>206476</v>
      </c>
      <c r="J62" s="6">
        <f>VLOOKUP(B62,'75 - Summary Exhibit'!A:N,8,FALSE)</f>
        <v>10555</v>
      </c>
      <c r="K62" s="6">
        <f>VLOOKUP(B62,'75 - Summary Exhibit'!A:N,9,FALSE)</f>
        <v>0</v>
      </c>
      <c r="L62" s="6">
        <f>VLOOKUP(B62,'75 - Summary Exhibit'!A:N,10,FALSE)</f>
        <v>1735975</v>
      </c>
      <c r="M62" s="6">
        <f>VLOOKUP(B62,'75 - Summary Exhibit'!A:N,11,FALSE)</f>
        <v>1110719</v>
      </c>
      <c r="N62" s="6">
        <f>VLOOKUP(B62,'75 - Summary Exhibit'!A:N,12,FALSE)</f>
        <v>-425383</v>
      </c>
      <c r="O62" s="6">
        <f>VLOOKUP(B62,'75 - Summary Exhibit'!A:N,13,FALSE)</f>
        <v>-597609</v>
      </c>
      <c r="P62" s="6">
        <f t="shared" si="12"/>
        <v>-1022992</v>
      </c>
      <c r="Q62" s="6">
        <f>VLOOKUP(B62,'75- Deferred Amortization'!A:G,3,FALSE)</f>
        <v>-932595</v>
      </c>
      <c r="R62" s="6">
        <f>VLOOKUP(B62,'75- Deferred Amortization'!A:G,4,FALSE)</f>
        <v>-650161</v>
      </c>
      <c r="S62" s="6">
        <f>VLOOKUP(B62,'75- Deferred Amortization'!A:G,5,FALSE)</f>
        <v>-528876</v>
      </c>
      <c r="T62" s="6">
        <f>VLOOKUP(B62,'75- Deferred Amortization'!A:G,6,FALSE)</f>
        <v>-163695</v>
      </c>
      <c r="U62" s="6">
        <f>VLOOKUP(B62,'75- Deferred Amortization'!A:G,7,FALSE)</f>
        <v>0</v>
      </c>
      <c r="V62" s="6">
        <f t="shared" si="13"/>
        <v>5</v>
      </c>
      <c r="W62" s="6">
        <f t="shared" si="14"/>
        <v>0</v>
      </c>
      <c r="X62">
        <v>2</v>
      </c>
      <c r="Z62" s="226">
        <f>VLOOKUP(B62,'Noncap Contr Alloc'!A:C,3,FALSE)</f>
        <v>28989</v>
      </c>
      <c r="AC62" s="9">
        <v>4763546</v>
      </c>
      <c r="AD62" s="9">
        <v>28123</v>
      </c>
      <c r="AE62" s="9">
        <v>0</v>
      </c>
      <c r="AF62" s="9">
        <v>389617</v>
      </c>
      <c r="AG62" s="6">
        <v>0</v>
      </c>
      <c r="AH62" s="6">
        <v>88672</v>
      </c>
      <c r="AI62" s="6">
        <v>2437</v>
      </c>
      <c r="AJ62" s="6">
        <v>1157645</v>
      </c>
      <c r="AK62" s="6">
        <v>1759945</v>
      </c>
      <c r="AM62" s="6">
        <f t="shared" si="15"/>
        <v>206476</v>
      </c>
      <c r="AN62" s="6">
        <f t="shared" si="16"/>
        <v>-649226</v>
      </c>
      <c r="AO62" s="9">
        <f t="shared" si="17"/>
        <v>8909</v>
      </c>
      <c r="AP62" s="6">
        <f t="shared" si="18"/>
        <v>-78117</v>
      </c>
      <c r="AQ62" s="9">
        <f t="shared" si="19"/>
        <v>-84233</v>
      </c>
      <c r="AR62" s="6">
        <f t="shared" si="20"/>
        <v>578330</v>
      </c>
      <c r="AS62" s="9">
        <f t="shared" si="21"/>
        <v>-949253</v>
      </c>
      <c r="AT62" s="9">
        <f t="shared" si="22"/>
        <v>33030</v>
      </c>
      <c r="AU62" s="6">
        <f t="shared" si="23"/>
        <v>-2437</v>
      </c>
    </row>
    <row r="63" spans="1:47" x14ac:dyDescent="0.25">
      <c r="A63" t="s">
        <v>100</v>
      </c>
      <c r="B63">
        <v>37805</v>
      </c>
      <c r="C63" s="6">
        <f>VLOOKUP(B63,'ER Contributions'!A:D,4,FALSE)</f>
        <v>670798</v>
      </c>
      <c r="D63" s="7">
        <f>VLOOKUP(B63,'ER Contributions'!A:D,3,FALSE)</f>
        <v>5.3189999999999997E-4</v>
      </c>
      <c r="E63" s="9">
        <f>VLOOKUP(B63,'75 - Summary Exhibit'!A:N,3,FALSE)</f>
        <v>12631406</v>
      </c>
      <c r="F63" s="9">
        <f>VLOOKUP(B63,'75 - Summary Exhibit'!A:N,4,FALSE)</f>
        <v>122634</v>
      </c>
      <c r="G63" s="9">
        <f>VLOOKUP(B63,'75 - Summary Exhibit'!A:N,5,FALSE)</f>
        <v>109383</v>
      </c>
      <c r="H63" s="9">
        <f>VLOOKUP(B63,'75 - Summary Exhibit'!A:N,6,FALSE)</f>
        <v>1011308</v>
      </c>
      <c r="I63" s="6">
        <f>VLOOKUP(B63,'75 - Summary Exhibit'!A:N,7,FALSE)</f>
        <v>1363051</v>
      </c>
      <c r="J63" s="6">
        <f>VLOOKUP(B63,'75 - Summary Exhibit'!A:N,8,FALSE)</f>
        <v>34952</v>
      </c>
      <c r="K63" s="6">
        <f>VLOOKUP(B63,'75 - Summary Exhibit'!A:N,9,FALSE)</f>
        <v>0</v>
      </c>
      <c r="L63" s="6">
        <f>VLOOKUP(B63,'75 - Summary Exhibit'!A:N,10,FALSE)</f>
        <v>5748850</v>
      </c>
      <c r="M63" s="6">
        <f>VLOOKUP(B63,'75 - Summary Exhibit'!A:N,11,FALSE)</f>
        <v>802434</v>
      </c>
      <c r="N63" s="6">
        <f>VLOOKUP(B63,'75 - Summary Exhibit'!A:N,12,FALSE)</f>
        <v>-1408699</v>
      </c>
      <c r="O63" s="6">
        <f>VLOOKUP(B63,'75 - Summary Exhibit'!A:N,13,FALSE)</f>
        <v>-364194</v>
      </c>
      <c r="P63" s="6">
        <f t="shared" si="12"/>
        <v>-1772893</v>
      </c>
      <c r="Q63" s="6">
        <f>VLOOKUP(B63,'75- Deferred Amortization'!A:G,3,FALSE)</f>
        <v>-1565372</v>
      </c>
      <c r="R63" s="6">
        <f>VLOOKUP(B63,'75- Deferred Amortization'!A:G,4,FALSE)</f>
        <v>-1099528</v>
      </c>
      <c r="S63" s="6">
        <f>VLOOKUP(B63,'75- Deferred Amortization'!A:G,5,FALSE)</f>
        <v>-851775</v>
      </c>
      <c r="T63" s="6">
        <f>VLOOKUP(B63,'75- Deferred Amortization'!A:G,6,FALSE)</f>
        <v>-463186</v>
      </c>
      <c r="U63" s="6">
        <f>VLOOKUP(B63,'75- Deferred Amortization'!A:G,7,FALSE)</f>
        <v>0</v>
      </c>
      <c r="V63" s="6">
        <f t="shared" si="13"/>
        <v>7</v>
      </c>
      <c r="W63" s="6">
        <f t="shared" si="14"/>
        <v>1</v>
      </c>
      <c r="X63">
        <v>2</v>
      </c>
      <c r="Z63" s="226">
        <f>VLOOKUP(B63,'Noncap Contr Alloc'!A:C,3,FALSE)</f>
        <v>96011</v>
      </c>
      <c r="AC63" s="9">
        <v>15770152</v>
      </c>
      <c r="AD63" s="9">
        <v>93105</v>
      </c>
      <c r="AE63" s="9">
        <v>0</v>
      </c>
      <c r="AF63" s="9">
        <v>1289863</v>
      </c>
      <c r="AG63" s="6">
        <v>966127</v>
      </c>
      <c r="AH63" s="6">
        <v>293556</v>
      </c>
      <c r="AI63" s="6">
        <v>8067</v>
      </c>
      <c r="AJ63" s="6">
        <v>3832490</v>
      </c>
      <c r="AK63" s="6">
        <v>1595805</v>
      </c>
      <c r="AM63" s="6">
        <f t="shared" si="15"/>
        <v>396924</v>
      </c>
      <c r="AN63" s="6">
        <f t="shared" si="16"/>
        <v>-793371</v>
      </c>
      <c r="AO63" s="9">
        <f t="shared" si="17"/>
        <v>29529</v>
      </c>
      <c r="AP63" s="6">
        <f t="shared" si="18"/>
        <v>-258604</v>
      </c>
      <c r="AQ63" s="9">
        <f t="shared" si="19"/>
        <v>-278555</v>
      </c>
      <c r="AR63" s="6">
        <f t="shared" si="20"/>
        <v>1916360</v>
      </c>
      <c r="AS63" s="9">
        <f t="shared" si="21"/>
        <v>-3138746</v>
      </c>
      <c r="AT63" s="9">
        <f t="shared" si="22"/>
        <v>109383</v>
      </c>
      <c r="AU63" s="6">
        <f t="shared" si="23"/>
        <v>-8067</v>
      </c>
    </row>
    <row r="64" spans="1:47" x14ac:dyDescent="0.25">
      <c r="A64" t="s">
        <v>101</v>
      </c>
      <c r="B64">
        <v>37905</v>
      </c>
      <c r="C64" s="6">
        <f>VLOOKUP(B64,'ER Contributions'!A:D,4,FALSE)</f>
        <v>516435</v>
      </c>
      <c r="D64" s="7">
        <f>VLOOKUP(B64,'ER Contributions'!A:D,3,FALSE)</f>
        <v>3.991E-4</v>
      </c>
      <c r="E64" s="9">
        <f>VLOOKUP(B64,'75 - Summary Exhibit'!A:N,3,FALSE)</f>
        <v>9476583</v>
      </c>
      <c r="F64" s="9">
        <f>VLOOKUP(B64,'75 - Summary Exhibit'!A:N,4,FALSE)</f>
        <v>92005</v>
      </c>
      <c r="G64" s="9">
        <f>VLOOKUP(B64,'75 - Summary Exhibit'!A:N,5,FALSE)</f>
        <v>82063</v>
      </c>
      <c r="H64" s="9">
        <f>VLOOKUP(B64,'75 - Summary Exhibit'!A:N,6,FALSE)</f>
        <v>758724</v>
      </c>
      <c r="I64" s="6">
        <f>VLOOKUP(B64,'75 - Summary Exhibit'!A:N,7,FALSE)</f>
        <v>279056</v>
      </c>
      <c r="J64" s="6">
        <f>VLOOKUP(B64,'75 - Summary Exhibit'!A:N,8,FALSE)</f>
        <v>26223</v>
      </c>
      <c r="K64" s="6">
        <f>VLOOKUP(B64,'75 - Summary Exhibit'!A:N,9,FALSE)</f>
        <v>0</v>
      </c>
      <c r="L64" s="6">
        <f>VLOOKUP(B64,'75 - Summary Exhibit'!A:N,10,FALSE)</f>
        <v>4313016</v>
      </c>
      <c r="M64" s="6">
        <f>VLOOKUP(B64,'75 - Summary Exhibit'!A:N,11,FALSE)</f>
        <v>495539</v>
      </c>
      <c r="N64" s="6">
        <f>VLOOKUP(B64,'75 - Summary Exhibit'!A:N,12,FALSE)</f>
        <v>-1056863</v>
      </c>
      <c r="O64" s="6">
        <f>VLOOKUP(B64,'75 - Summary Exhibit'!A:N,13,FALSE)</f>
        <v>-265518</v>
      </c>
      <c r="P64" s="6">
        <f t="shared" si="12"/>
        <v>-1322381</v>
      </c>
      <c r="Q64" s="6">
        <f>VLOOKUP(B64,'75- Deferred Amortization'!A:G,3,FALSE)</f>
        <v>-1459706</v>
      </c>
      <c r="R64" s="6">
        <f>VLOOKUP(B64,'75- Deferred Amortization'!A:G,4,FALSE)</f>
        <v>-868035</v>
      </c>
      <c r="S64" s="6">
        <f>VLOOKUP(B64,'75- Deferred Amortization'!A:G,5,FALSE)</f>
        <v>-835587</v>
      </c>
      <c r="T64" s="6">
        <f>VLOOKUP(B64,'75- Deferred Amortization'!A:G,6,FALSE)</f>
        <v>-459601</v>
      </c>
      <c r="U64" s="6">
        <f>VLOOKUP(B64,'75- Deferred Amortization'!A:G,7,FALSE)</f>
        <v>0</v>
      </c>
      <c r="V64" s="6">
        <f t="shared" si="13"/>
        <v>-5</v>
      </c>
      <c r="W64" s="6">
        <f t="shared" si="14"/>
        <v>-1</v>
      </c>
      <c r="X64">
        <v>2</v>
      </c>
      <c r="Z64" s="226">
        <f>VLOOKUP(B64,'Noncap Contr Alloc'!A:C,3,FALSE)</f>
        <v>72040</v>
      </c>
      <c r="AC64" s="9">
        <v>12116146</v>
      </c>
      <c r="AD64" s="9">
        <v>71532</v>
      </c>
      <c r="AE64" s="9">
        <v>0</v>
      </c>
      <c r="AF64" s="9">
        <v>990996</v>
      </c>
      <c r="AG64" s="6">
        <v>50300</v>
      </c>
      <c r="AH64" s="6">
        <v>225538</v>
      </c>
      <c r="AI64" s="6">
        <v>6198</v>
      </c>
      <c r="AJ64" s="6">
        <v>2944487</v>
      </c>
      <c r="AK64" s="6">
        <v>830823</v>
      </c>
      <c r="AM64" s="6">
        <f t="shared" si="15"/>
        <v>228756</v>
      </c>
      <c r="AN64" s="6">
        <f t="shared" si="16"/>
        <v>-335284</v>
      </c>
      <c r="AO64" s="9">
        <f t="shared" si="17"/>
        <v>20473</v>
      </c>
      <c r="AP64" s="6">
        <f t="shared" si="18"/>
        <v>-199315</v>
      </c>
      <c r="AQ64" s="9">
        <f t="shared" si="19"/>
        <v>-232272</v>
      </c>
      <c r="AR64" s="6">
        <f t="shared" si="20"/>
        <v>1368529</v>
      </c>
      <c r="AS64" s="9">
        <f t="shared" si="21"/>
        <v>-2639563</v>
      </c>
      <c r="AT64" s="9">
        <f t="shared" si="22"/>
        <v>82063</v>
      </c>
      <c r="AU64" s="6">
        <f t="shared" si="23"/>
        <v>-6198</v>
      </c>
    </row>
    <row r="65" spans="1:47" x14ac:dyDescent="0.25">
      <c r="A65" t="s">
        <v>102</v>
      </c>
      <c r="B65">
        <v>38005</v>
      </c>
      <c r="C65" s="6">
        <f>VLOOKUP(B65,'ER Contributions'!A:D,4,FALSE)</f>
        <v>1524169</v>
      </c>
      <c r="D65" s="7">
        <f>VLOOKUP(B65,'ER Contributions'!A:D,3,FALSE)</f>
        <v>1.2712000000000001E-3</v>
      </c>
      <c r="E65" s="9">
        <f>VLOOKUP(B65,'75 - Summary Exhibit'!A:N,3,FALSE)</f>
        <v>30187238</v>
      </c>
      <c r="F65" s="9">
        <f>VLOOKUP(B65,'75 - Summary Exhibit'!A:N,4,FALSE)</f>
        <v>293078</v>
      </c>
      <c r="G65" s="9">
        <f>VLOOKUP(B65,'75 - Summary Exhibit'!A:N,5,FALSE)</f>
        <v>261408</v>
      </c>
      <c r="H65" s="9">
        <f>VLOOKUP(B65,'75 - Summary Exhibit'!A:N,6,FALSE)</f>
        <v>2416881</v>
      </c>
      <c r="I65" s="6">
        <f>VLOOKUP(B65,'75 - Summary Exhibit'!A:N,7,FALSE)</f>
        <v>2897909</v>
      </c>
      <c r="J65" s="6">
        <f>VLOOKUP(B65,'75 - Summary Exhibit'!A:N,8,FALSE)</f>
        <v>83531</v>
      </c>
      <c r="K65" s="6">
        <f>VLOOKUP(B65,'75 - Summary Exhibit'!A:N,9,FALSE)</f>
        <v>0</v>
      </c>
      <c r="L65" s="6">
        <f>VLOOKUP(B65,'75 - Summary Exhibit'!A:N,10,FALSE)</f>
        <v>13738923</v>
      </c>
      <c r="M65" s="6">
        <f>VLOOKUP(B65,'75 - Summary Exhibit'!A:N,11,FALSE)</f>
        <v>45012</v>
      </c>
      <c r="N65" s="6">
        <f>VLOOKUP(B65,'75 - Summary Exhibit'!A:N,12,FALSE)</f>
        <v>-3366593</v>
      </c>
      <c r="O65" s="6">
        <f>VLOOKUP(B65,'75 - Summary Exhibit'!A:N,13,FALSE)</f>
        <v>-413010</v>
      </c>
      <c r="P65" s="6">
        <f t="shared" si="12"/>
        <v>-3779603</v>
      </c>
      <c r="Q65" s="6">
        <f>VLOOKUP(B65,'75- Deferred Amortization'!A:G,3,FALSE)</f>
        <v>-3072867</v>
      </c>
      <c r="R65" s="6">
        <f>VLOOKUP(B65,'75- Deferred Amortization'!A:G,4,FALSE)</f>
        <v>-1715138</v>
      </c>
      <c r="S65" s="6">
        <f>VLOOKUP(B65,'75- Deferred Amortization'!A:G,5,FALSE)</f>
        <v>-2188584</v>
      </c>
      <c r="T65" s="6">
        <f>VLOOKUP(B65,'75- Deferred Amortization'!A:G,6,FALSE)</f>
        <v>-1021601</v>
      </c>
      <c r="U65" s="6">
        <f>VLOOKUP(B65,'75- Deferred Amortization'!A:G,7,FALSE)</f>
        <v>0</v>
      </c>
      <c r="V65" s="6">
        <f t="shared" si="13"/>
        <v>0</v>
      </c>
      <c r="W65" s="6">
        <f t="shared" si="14"/>
        <v>0</v>
      </c>
      <c r="X65">
        <v>2</v>
      </c>
      <c r="Z65" s="226">
        <f>VLOOKUP(B65,'Noncap Contr Alloc'!A:C,3,FALSE)</f>
        <v>229459</v>
      </c>
      <c r="AC65" s="9">
        <v>37459720</v>
      </c>
      <c r="AD65" s="9">
        <v>221157</v>
      </c>
      <c r="AE65" s="9">
        <v>0</v>
      </c>
      <c r="AF65" s="9">
        <v>3063883</v>
      </c>
      <c r="AG65" s="6">
        <v>1514006</v>
      </c>
      <c r="AH65" s="6">
        <v>697300</v>
      </c>
      <c r="AI65" s="6">
        <v>19162</v>
      </c>
      <c r="AJ65" s="6">
        <v>9103526</v>
      </c>
      <c r="AK65" s="6">
        <v>1237997</v>
      </c>
      <c r="AM65" s="6">
        <f t="shared" si="15"/>
        <v>1383903</v>
      </c>
      <c r="AN65" s="6">
        <f t="shared" si="16"/>
        <v>-1192985</v>
      </c>
      <c r="AO65" s="9">
        <f t="shared" si="17"/>
        <v>71921</v>
      </c>
      <c r="AP65" s="6">
        <f t="shared" si="18"/>
        <v>-613769</v>
      </c>
      <c r="AQ65" s="9">
        <f t="shared" si="19"/>
        <v>-647002</v>
      </c>
      <c r="AR65" s="6">
        <f t="shared" si="20"/>
        <v>4635397</v>
      </c>
      <c r="AS65" s="9">
        <f t="shared" si="21"/>
        <v>-7272482</v>
      </c>
      <c r="AT65" s="9">
        <f t="shared" si="22"/>
        <v>261408</v>
      </c>
      <c r="AU65" s="6">
        <f t="shared" si="23"/>
        <v>-19162</v>
      </c>
    </row>
    <row r="66" spans="1:47" x14ac:dyDescent="0.25">
      <c r="A66" t="s">
        <v>104</v>
      </c>
      <c r="B66">
        <v>38205</v>
      </c>
      <c r="C66" s="6">
        <f>VLOOKUP(B66,'ER Contributions'!A:D,4,FALSE)</f>
        <v>466405</v>
      </c>
      <c r="D66" s="7">
        <f>VLOOKUP(B66,'ER Contributions'!A:D,3,FALSE)</f>
        <v>3.7090000000000002E-4</v>
      </c>
      <c r="E66" s="9">
        <f>VLOOKUP(B66,'75 - Summary Exhibit'!A:N,3,FALSE)</f>
        <v>8807270</v>
      </c>
      <c r="F66" s="9">
        <f>VLOOKUP(B66,'75 - Summary Exhibit'!A:N,4,FALSE)</f>
        <v>85507</v>
      </c>
      <c r="G66" s="9">
        <f>VLOOKUP(B66,'75 - Summary Exhibit'!A:N,5,FALSE)</f>
        <v>76267</v>
      </c>
      <c r="H66" s="9">
        <f>VLOOKUP(B66,'75 - Summary Exhibit'!A:N,6,FALSE)</f>
        <v>705136</v>
      </c>
      <c r="I66" s="6">
        <f>VLOOKUP(B66,'75 - Summary Exhibit'!A:N,7,FALSE)</f>
        <v>314986</v>
      </c>
      <c r="J66" s="6">
        <f>VLOOKUP(B66,'75 - Summary Exhibit'!A:N,8,FALSE)</f>
        <v>24371</v>
      </c>
      <c r="K66" s="6">
        <f>VLOOKUP(B66,'75 - Summary Exhibit'!A:N,9,FALSE)</f>
        <v>0</v>
      </c>
      <c r="L66" s="6">
        <f>VLOOKUP(B66,'75 - Summary Exhibit'!A:N,10,FALSE)</f>
        <v>4008396</v>
      </c>
      <c r="M66" s="6">
        <f>VLOOKUP(B66,'75 - Summary Exhibit'!A:N,11,FALSE)</f>
        <v>428312</v>
      </c>
      <c r="N66" s="6">
        <f>VLOOKUP(B66,'75 - Summary Exhibit'!A:N,12,FALSE)</f>
        <v>-982219</v>
      </c>
      <c r="O66" s="6">
        <f>VLOOKUP(B66,'75 - Summary Exhibit'!A:N,13,FALSE)</f>
        <v>-59393</v>
      </c>
      <c r="P66" s="6">
        <f t="shared" si="12"/>
        <v>-1041612</v>
      </c>
      <c r="Q66" s="6">
        <f>VLOOKUP(B66,'75- Deferred Amortization'!A:G,3,FALSE)</f>
        <v>-1098731</v>
      </c>
      <c r="R66" s="6">
        <f>VLOOKUP(B66,'75- Deferred Amortization'!A:G,4,FALSE)</f>
        <v>-752128</v>
      </c>
      <c r="S66" s="6">
        <f>VLOOKUP(B66,'75- Deferred Amortization'!A:G,5,FALSE)</f>
        <v>-839222</v>
      </c>
      <c r="T66" s="6">
        <f>VLOOKUP(B66,'75- Deferred Amortization'!A:G,6,FALSE)</f>
        <v>-589101</v>
      </c>
      <c r="U66" s="6">
        <f>VLOOKUP(B66,'75- Deferred Amortization'!A:G,7,FALSE)</f>
        <v>0</v>
      </c>
      <c r="V66" s="6">
        <f t="shared" si="13"/>
        <v>-3</v>
      </c>
      <c r="W66" s="6">
        <f t="shared" si="14"/>
        <v>-1</v>
      </c>
      <c r="X66">
        <v>2</v>
      </c>
      <c r="Z66" s="226">
        <f>VLOOKUP(B66,'Noncap Contr Alloc'!A:C,3,FALSE)</f>
        <v>66950</v>
      </c>
      <c r="AC66" s="9">
        <v>11778770</v>
      </c>
      <c r="AD66" s="9">
        <v>69540</v>
      </c>
      <c r="AE66" s="9">
        <v>0</v>
      </c>
      <c r="AF66" s="9">
        <v>963402</v>
      </c>
      <c r="AG66" s="6">
        <v>444240</v>
      </c>
      <c r="AH66" s="6">
        <v>219258</v>
      </c>
      <c r="AI66" s="6">
        <v>6025</v>
      </c>
      <c r="AJ66" s="6">
        <v>2862497</v>
      </c>
      <c r="AK66" s="6">
        <v>272049</v>
      </c>
      <c r="AM66" s="6">
        <f t="shared" si="15"/>
        <v>-129254</v>
      </c>
      <c r="AN66" s="6">
        <f t="shared" si="16"/>
        <v>156263</v>
      </c>
      <c r="AO66" s="9">
        <f t="shared" si="17"/>
        <v>15967</v>
      </c>
      <c r="AP66" s="6">
        <f t="shared" si="18"/>
        <v>-194887</v>
      </c>
      <c r="AQ66" s="9">
        <f t="shared" si="19"/>
        <v>-258266</v>
      </c>
      <c r="AR66" s="6">
        <f t="shared" si="20"/>
        <v>1145899</v>
      </c>
      <c r="AS66" s="9">
        <f t="shared" si="21"/>
        <v>-2971500</v>
      </c>
      <c r="AT66" s="9">
        <f t="shared" si="22"/>
        <v>76267</v>
      </c>
      <c r="AU66" s="6">
        <f t="shared" si="23"/>
        <v>-6025</v>
      </c>
    </row>
    <row r="67" spans="1:47" x14ac:dyDescent="0.25">
      <c r="A67" t="s">
        <v>90</v>
      </c>
      <c r="B67">
        <v>36305</v>
      </c>
      <c r="C67" s="6">
        <f>VLOOKUP(B67,'ER Contributions'!A:D,4,FALSE)</f>
        <v>1102941</v>
      </c>
      <c r="D67" s="7">
        <f>VLOOKUP(B67,'ER Contributions'!A:D,3,FALSE)</f>
        <v>8.2319999999999995E-4</v>
      </c>
      <c r="E67" s="9">
        <f>VLOOKUP(B67,'75 - Summary Exhibit'!A:N,3,FALSE)</f>
        <v>19547948</v>
      </c>
      <c r="F67" s="9">
        <f>VLOOKUP(B67,'75 - Summary Exhibit'!A:N,4,FALSE)</f>
        <v>189785</v>
      </c>
      <c r="G67" s="9">
        <f>VLOOKUP(B67,'75 - Summary Exhibit'!A:N,5,FALSE)</f>
        <v>169277</v>
      </c>
      <c r="H67" s="9">
        <f>VLOOKUP(B67,'75 - Summary Exhibit'!A:N,6,FALSE)</f>
        <v>1565067</v>
      </c>
      <c r="I67" s="6">
        <f>VLOOKUP(B67,'75 - Summary Exhibit'!A:N,7,FALSE)</f>
        <v>1210960</v>
      </c>
      <c r="J67" s="6">
        <f>VLOOKUP(B67,'75 - Summary Exhibit'!A:N,8,FALSE)</f>
        <v>54091</v>
      </c>
      <c r="K67" s="6">
        <f>VLOOKUP(B67,'75 - Summary Exhibit'!A:N,9,FALSE)</f>
        <v>0</v>
      </c>
      <c r="L67" s="6">
        <f>VLOOKUP(B67,'75 - Summary Exhibit'!A:N,10,FALSE)</f>
        <v>8896731</v>
      </c>
      <c r="M67" s="6">
        <f>VLOOKUP(B67,'75 - Summary Exhibit'!A:N,11,FALSE)</f>
        <v>227852</v>
      </c>
      <c r="N67" s="6">
        <f>VLOOKUP(B67,'75 - Summary Exhibit'!A:N,12,FALSE)</f>
        <v>-2180060</v>
      </c>
      <c r="O67" s="6">
        <f>VLOOKUP(B67,'75 - Summary Exhibit'!A:N,13,FALSE)</f>
        <v>-295608</v>
      </c>
      <c r="P67" s="6">
        <f t="shared" ref="P67:P80" si="24">N67+O67</f>
        <v>-2475668</v>
      </c>
      <c r="Q67" s="6">
        <f>VLOOKUP(B67,'75- Deferred Amortization'!A:G,3,FALSE)</f>
        <v>-2280556</v>
      </c>
      <c r="R67" s="6">
        <f>VLOOKUP(B67,'75- Deferred Amortization'!A:G,4,FALSE)</f>
        <v>-1380440</v>
      </c>
      <c r="S67" s="6">
        <f>VLOOKUP(B67,'75- Deferred Amortization'!A:G,5,FALSE)</f>
        <v>-1593374</v>
      </c>
      <c r="T67" s="6">
        <f>VLOOKUP(B67,'75- Deferred Amortization'!A:G,6,FALSE)</f>
        <v>-789215</v>
      </c>
      <c r="U67" s="6">
        <f>VLOOKUP(B67,'75- Deferred Amortization'!A:G,7,FALSE)</f>
        <v>0</v>
      </c>
      <c r="V67" s="6">
        <f t="shared" si="13"/>
        <v>-4</v>
      </c>
      <c r="W67" s="6">
        <f t="shared" si="14"/>
        <v>0</v>
      </c>
      <c r="X67">
        <v>2</v>
      </c>
      <c r="Z67" s="226">
        <f>VLOOKUP(B67,'Noncap Contr Alloc'!A:C,3,FALSE)</f>
        <v>148593</v>
      </c>
      <c r="AC67" s="9">
        <v>25026992</v>
      </c>
      <c r="AD67" s="9">
        <v>147756</v>
      </c>
      <c r="AE67" s="9">
        <v>0</v>
      </c>
      <c r="AF67" s="9">
        <v>2046992</v>
      </c>
      <c r="AG67" s="6">
        <v>900490</v>
      </c>
      <c r="AH67" s="6">
        <v>465869</v>
      </c>
      <c r="AI67" s="6">
        <v>12802</v>
      </c>
      <c r="AJ67" s="6">
        <v>6082103</v>
      </c>
      <c r="AK67" s="6">
        <v>826203</v>
      </c>
      <c r="AM67" s="6">
        <f t="shared" si="15"/>
        <v>310470</v>
      </c>
      <c r="AN67" s="6">
        <f t="shared" si="16"/>
        <v>-598351</v>
      </c>
      <c r="AO67" s="9">
        <f t="shared" si="17"/>
        <v>42029</v>
      </c>
      <c r="AP67" s="6">
        <f t="shared" si="18"/>
        <v>-411778</v>
      </c>
      <c r="AQ67" s="9">
        <f t="shared" si="19"/>
        <v>-481925</v>
      </c>
      <c r="AR67" s="6">
        <f t="shared" si="20"/>
        <v>2814628</v>
      </c>
      <c r="AS67" s="9">
        <f t="shared" si="21"/>
        <v>-5479044</v>
      </c>
      <c r="AT67" s="9">
        <f t="shared" si="22"/>
        <v>169277</v>
      </c>
      <c r="AU67" s="6">
        <f t="shared" si="23"/>
        <v>-12802</v>
      </c>
    </row>
    <row r="68" spans="1:47" x14ac:dyDescent="0.25">
      <c r="A68" t="s">
        <v>55</v>
      </c>
      <c r="B68">
        <v>30405</v>
      </c>
      <c r="C68" s="6">
        <f>VLOOKUP(B68,'ER Contributions'!A:D,4,FALSE)</f>
        <v>774045</v>
      </c>
      <c r="D68" s="7">
        <f>VLOOKUP(B68,'ER Contributions'!A:D,3,FALSE)</f>
        <v>6.1740000000000005E-4</v>
      </c>
      <c r="E68" s="9">
        <f>VLOOKUP(B68,'75 - Summary Exhibit'!A:N,3,FALSE)</f>
        <v>14660542</v>
      </c>
      <c r="F68" s="9">
        <f>VLOOKUP(B68,'75 - Summary Exhibit'!A:N,4,FALSE)</f>
        <v>142334</v>
      </c>
      <c r="G68" s="9">
        <f>VLOOKUP(B68,'75 - Summary Exhibit'!A:N,5,FALSE)</f>
        <v>126954</v>
      </c>
      <c r="H68" s="9">
        <f>VLOOKUP(B68,'75 - Summary Exhibit'!A:N,6,FALSE)</f>
        <v>1173767</v>
      </c>
      <c r="I68" s="6">
        <f>VLOOKUP(B68,'75 - Summary Exhibit'!A:N,7,FALSE)</f>
        <v>705504</v>
      </c>
      <c r="J68" s="6">
        <f>VLOOKUP(B68,'75 - Summary Exhibit'!A:N,8,FALSE)</f>
        <v>40567</v>
      </c>
      <c r="K68" s="6">
        <f>VLOOKUP(B68,'75 - Summary Exhibit'!A:N,9,FALSE)</f>
        <v>0</v>
      </c>
      <c r="L68" s="6">
        <f>VLOOKUP(B68,'75 - Summary Exhibit'!A:N,10,FALSE)</f>
        <v>6672358</v>
      </c>
      <c r="M68" s="6">
        <f>VLOOKUP(B68,'75 - Summary Exhibit'!A:N,11,FALSE)</f>
        <v>1435397</v>
      </c>
      <c r="N68" s="6">
        <f>VLOOKUP(B68,'75 - Summary Exhibit'!A:N,12,FALSE)</f>
        <v>-1634997</v>
      </c>
      <c r="O68" s="6">
        <f>VLOOKUP(B68,'75 - Summary Exhibit'!A:N,13,FALSE)</f>
        <v>-916933</v>
      </c>
      <c r="P68" s="6">
        <f t="shared" si="24"/>
        <v>-2551930</v>
      </c>
      <c r="Q68" s="6">
        <f>VLOOKUP(B68,'75- Deferred Amortization'!A:G,3,FALSE)</f>
        <v>-2399196</v>
      </c>
      <c r="R68" s="6">
        <f>VLOOKUP(B68,'75- Deferred Amortization'!A:G,4,FALSE)</f>
        <v>-1658486</v>
      </c>
      <c r="S68" s="6">
        <f>VLOOKUP(B68,'75- Deferred Amortization'!A:G,5,FALSE)</f>
        <v>-1299514</v>
      </c>
      <c r="T68" s="6">
        <f>VLOOKUP(B68,'75- Deferred Amortization'!A:G,6,FALSE)</f>
        <v>-642567</v>
      </c>
      <c r="U68" s="6">
        <f>VLOOKUP(B68,'75- Deferred Amortization'!A:G,7,FALSE)</f>
        <v>0</v>
      </c>
      <c r="V68" s="6">
        <f t="shared" ref="V68:V88" si="25">ROUND(((F68-AD68)+(G68-AE68)+(H68-AF68)+(I68-AG68)+(AI68-K68)+P68-(E68-AC68)-(J68-AH68)-(L68-AJ68)-(M68-AK68)-C68),0)-Z68</f>
        <v>-5</v>
      </c>
      <c r="W68" s="6">
        <f t="shared" ref="W68:W88" si="26">ROUND((F68+G68+H68+I68-J68-K68-L68-M68-Q68-R68-S68-T68-U68),0)</f>
        <v>0</v>
      </c>
      <c r="X68">
        <v>2</v>
      </c>
      <c r="Z68" s="226">
        <f>VLOOKUP(B68,'Noncap Contr Alloc'!A:C,3,FALSE)</f>
        <v>111444</v>
      </c>
      <c r="AC68" s="9">
        <v>19018074</v>
      </c>
      <c r="AD68" s="9">
        <v>112280</v>
      </c>
      <c r="AE68" s="9">
        <v>0</v>
      </c>
      <c r="AF68" s="9">
        <v>1555515</v>
      </c>
      <c r="AG68" s="6">
        <v>766815</v>
      </c>
      <c r="AH68" s="6">
        <v>354015</v>
      </c>
      <c r="AI68" s="6">
        <v>9729</v>
      </c>
      <c r="AJ68" s="6">
        <v>4621805</v>
      </c>
      <c r="AK68" s="6">
        <v>2528706</v>
      </c>
      <c r="AM68" s="6">
        <f t="shared" ref="AM68:AM85" si="27">I68-AG68</f>
        <v>-61311</v>
      </c>
      <c r="AN68" s="6">
        <f t="shared" ref="AN68:AN85" si="28">M68-AK68</f>
        <v>-1093309</v>
      </c>
      <c r="AO68" s="9">
        <f t="shared" ref="AO68:AO88" si="29">F68-AD68</f>
        <v>30054</v>
      </c>
      <c r="AP68" s="6">
        <f t="shared" ref="AP68:AP88" si="30">J68-AH68</f>
        <v>-313448</v>
      </c>
      <c r="AQ68" s="9">
        <f t="shared" ref="AQ68:AQ88" si="31">H68-AF68</f>
        <v>-381748</v>
      </c>
      <c r="AR68" s="6">
        <f t="shared" ref="AR68:AR88" si="32">L68-AJ68</f>
        <v>2050553</v>
      </c>
      <c r="AS68" s="9">
        <f t="shared" ref="AS68:AS88" si="33">E68-AC68</f>
        <v>-4357532</v>
      </c>
      <c r="AT68" s="9">
        <f t="shared" ref="AT68:AT88" si="34">G68-AE68</f>
        <v>126954</v>
      </c>
      <c r="AU68" s="6">
        <f t="shared" ref="AU68:AU88" si="35">K68-AI68</f>
        <v>-9729</v>
      </c>
    </row>
    <row r="69" spans="1:47" x14ac:dyDescent="0.25">
      <c r="A69" t="s">
        <v>66</v>
      </c>
      <c r="B69">
        <v>32405</v>
      </c>
      <c r="C69" s="6">
        <f>VLOOKUP(B69,'ER Contributions'!A:D,4,FALSE)</f>
        <v>541165</v>
      </c>
      <c r="D69" s="7">
        <f>VLOOKUP(B69,'ER Contributions'!A:D,3,FALSE)</f>
        <v>4.083E-4</v>
      </c>
      <c r="E69" s="9">
        <f>VLOOKUP(B69,'75 - Summary Exhibit'!A:N,3,FALSE)</f>
        <v>9694723</v>
      </c>
      <c r="F69" s="9">
        <f>VLOOKUP(B69,'75 - Summary Exhibit'!A:N,4,FALSE)</f>
        <v>94123</v>
      </c>
      <c r="G69" s="9">
        <f>VLOOKUP(B69,'75 - Summary Exhibit'!A:N,5,FALSE)</f>
        <v>83952</v>
      </c>
      <c r="H69" s="9">
        <f>VLOOKUP(B69,'75 - Summary Exhibit'!A:N,6,FALSE)</f>
        <v>776189</v>
      </c>
      <c r="I69" s="6">
        <f>VLOOKUP(B69,'75 - Summary Exhibit'!A:N,7,FALSE)</f>
        <v>37619</v>
      </c>
      <c r="J69" s="6">
        <f>VLOOKUP(B69,'75 - Summary Exhibit'!A:N,8,FALSE)</f>
        <v>26826</v>
      </c>
      <c r="K69" s="6">
        <f>VLOOKUP(B69,'75 - Summary Exhibit'!A:N,9,FALSE)</f>
        <v>0</v>
      </c>
      <c r="L69" s="6">
        <f>VLOOKUP(B69,'75 - Summary Exhibit'!A:N,10,FALSE)</f>
        <v>4412297</v>
      </c>
      <c r="M69" s="6">
        <f>VLOOKUP(B69,'75 - Summary Exhibit'!A:N,11,FALSE)</f>
        <v>1759946</v>
      </c>
      <c r="N69" s="6">
        <f>VLOOKUP(B69,'75 - Summary Exhibit'!A:N,12,FALSE)</f>
        <v>-1081192</v>
      </c>
      <c r="O69" s="6">
        <f>VLOOKUP(B69,'75 - Summary Exhibit'!A:N,13,FALSE)</f>
        <v>-464170</v>
      </c>
      <c r="P69" s="6">
        <f t="shared" si="24"/>
        <v>-1545362</v>
      </c>
      <c r="Q69" s="6">
        <f>VLOOKUP(B69,'75- Deferred Amortization'!A:G,3,FALSE)</f>
        <v>-1696382</v>
      </c>
      <c r="R69" s="6">
        <f>VLOOKUP(B69,'75- Deferred Amortization'!A:G,4,FALSE)</f>
        <v>-1312418</v>
      </c>
      <c r="S69" s="6">
        <f>VLOOKUP(B69,'75- Deferred Amortization'!A:G,5,FALSE)</f>
        <v>-1397996</v>
      </c>
      <c r="T69" s="6">
        <f>VLOOKUP(B69,'75- Deferred Amortization'!A:G,6,FALSE)</f>
        <v>-800391</v>
      </c>
      <c r="U69" s="6">
        <f>VLOOKUP(B69,'75- Deferred Amortization'!A:G,7,FALSE)</f>
        <v>0</v>
      </c>
      <c r="V69" s="6">
        <f t="shared" si="25"/>
        <v>-6</v>
      </c>
      <c r="W69" s="6">
        <f t="shared" si="26"/>
        <v>1</v>
      </c>
      <c r="X69">
        <v>2</v>
      </c>
      <c r="Z69" s="226">
        <f>VLOOKUP(B69,'Noncap Contr Alloc'!A:C,3,FALSE)</f>
        <v>73701</v>
      </c>
      <c r="AC69" s="9">
        <v>13451282</v>
      </c>
      <c r="AD69" s="9">
        <v>79414</v>
      </c>
      <c r="AE69" s="9">
        <v>0</v>
      </c>
      <c r="AF69" s="9">
        <v>1100199</v>
      </c>
      <c r="AG69" s="6">
        <v>84554</v>
      </c>
      <c r="AH69" s="6">
        <v>250391</v>
      </c>
      <c r="AI69" s="6">
        <v>6881</v>
      </c>
      <c r="AJ69" s="6">
        <v>3268954</v>
      </c>
      <c r="AK69" s="6">
        <v>1348790</v>
      </c>
      <c r="AM69" s="6">
        <f t="shared" si="27"/>
        <v>-46935</v>
      </c>
      <c r="AN69" s="6">
        <f t="shared" si="28"/>
        <v>411156</v>
      </c>
      <c r="AO69" s="9">
        <f t="shared" si="29"/>
        <v>14709</v>
      </c>
      <c r="AP69" s="6">
        <f t="shared" si="30"/>
        <v>-223565</v>
      </c>
      <c r="AQ69" s="9">
        <f t="shared" si="31"/>
        <v>-324010</v>
      </c>
      <c r="AR69" s="6">
        <f t="shared" si="32"/>
        <v>1143343</v>
      </c>
      <c r="AS69" s="9">
        <f t="shared" si="33"/>
        <v>-3756559</v>
      </c>
      <c r="AT69" s="9">
        <f t="shared" si="34"/>
        <v>83952</v>
      </c>
      <c r="AU69" s="6">
        <f t="shared" si="35"/>
        <v>-6881</v>
      </c>
    </row>
    <row r="70" spans="1:47" x14ac:dyDescent="0.25">
      <c r="A70" t="s">
        <v>81</v>
      </c>
      <c r="B70">
        <v>35005</v>
      </c>
      <c r="C70" s="6">
        <f>VLOOKUP(B70,'ER Contributions'!A:D,4,FALSE)</f>
        <v>680567</v>
      </c>
      <c r="D70" s="7">
        <f>VLOOKUP(B70,'ER Contributions'!A:D,3,FALSE)</f>
        <v>5.195E-4</v>
      </c>
      <c r="E70" s="9">
        <f>VLOOKUP(B70,'75 - Summary Exhibit'!A:N,3,FALSE)</f>
        <v>12335969</v>
      </c>
      <c r="F70" s="9">
        <f>VLOOKUP(B70,'75 - Summary Exhibit'!A:N,4,FALSE)</f>
        <v>119766</v>
      </c>
      <c r="G70" s="9">
        <f>VLOOKUP(B70,'75 - Summary Exhibit'!A:N,5,FALSE)</f>
        <v>106824</v>
      </c>
      <c r="H70" s="9">
        <f>VLOOKUP(B70,'75 - Summary Exhibit'!A:N,6,FALSE)</f>
        <v>987655</v>
      </c>
      <c r="I70" s="6">
        <f>VLOOKUP(B70,'75 - Summary Exhibit'!A:N,7,FALSE)</f>
        <v>180987</v>
      </c>
      <c r="J70" s="6">
        <f>VLOOKUP(B70,'75 - Summary Exhibit'!A:N,8,FALSE)</f>
        <v>34135</v>
      </c>
      <c r="K70" s="6">
        <f>VLOOKUP(B70,'75 - Summary Exhibit'!A:N,9,FALSE)</f>
        <v>0</v>
      </c>
      <c r="L70" s="6">
        <f>VLOOKUP(B70,'75 - Summary Exhibit'!A:N,10,FALSE)</f>
        <v>5614390</v>
      </c>
      <c r="M70" s="6">
        <f>VLOOKUP(B70,'75 - Summary Exhibit'!A:N,11,FALSE)</f>
        <v>1626762</v>
      </c>
      <c r="N70" s="6">
        <f>VLOOKUP(B70,'75 - Summary Exhibit'!A:N,12,FALSE)</f>
        <v>-1375752</v>
      </c>
      <c r="O70" s="6">
        <f>VLOOKUP(B70,'75 - Summary Exhibit'!A:N,13,FALSE)</f>
        <v>-618579</v>
      </c>
      <c r="P70" s="6">
        <f t="shared" si="24"/>
        <v>-1994331</v>
      </c>
      <c r="Q70" s="6">
        <f>VLOOKUP(B70,'75- Deferred Amortization'!A:G,3,FALSE)</f>
        <v>-1976650</v>
      </c>
      <c r="R70" s="6">
        <f>VLOOKUP(B70,'75- Deferred Amortization'!A:G,4,FALSE)</f>
        <v>-1554837</v>
      </c>
      <c r="S70" s="6">
        <f>VLOOKUP(B70,'75- Deferred Amortization'!A:G,5,FALSE)</f>
        <v>-1589683</v>
      </c>
      <c r="T70" s="6">
        <f>VLOOKUP(B70,'75- Deferred Amortization'!A:G,6,FALSE)</f>
        <v>-758886</v>
      </c>
      <c r="U70" s="6">
        <f>VLOOKUP(B70,'75- Deferred Amortization'!A:G,7,FALSE)</f>
        <v>0</v>
      </c>
      <c r="V70" s="6">
        <f t="shared" si="25"/>
        <v>-3</v>
      </c>
      <c r="W70" s="6">
        <f t="shared" si="26"/>
        <v>1</v>
      </c>
      <c r="X70">
        <v>2</v>
      </c>
      <c r="Z70" s="226">
        <f>VLOOKUP(B70,'Noncap Contr Alloc'!A:C,3,FALSE)</f>
        <v>93773</v>
      </c>
      <c r="AC70" s="9">
        <v>16477684</v>
      </c>
      <c r="AD70" s="9">
        <v>97282</v>
      </c>
      <c r="AE70" s="9">
        <v>0</v>
      </c>
      <c r="AF70" s="9">
        <v>1347733</v>
      </c>
      <c r="AG70" s="6">
        <v>312204</v>
      </c>
      <c r="AH70" s="6">
        <v>306726</v>
      </c>
      <c r="AI70" s="6">
        <v>8429</v>
      </c>
      <c r="AJ70" s="6">
        <v>4004435</v>
      </c>
      <c r="AK70" s="6">
        <v>1944637</v>
      </c>
      <c r="AM70" s="6">
        <f t="shared" si="27"/>
        <v>-131217</v>
      </c>
      <c r="AN70" s="6">
        <f t="shared" si="28"/>
        <v>-317875</v>
      </c>
      <c r="AO70" s="9">
        <f t="shared" si="29"/>
        <v>22484</v>
      </c>
      <c r="AP70" s="6">
        <f t="shared" si="30"/>
        <v>-272591</v>
      </c>
      <c r="AQ70" s="9">
        <f t="shared" si="31"/>
        <v>-360078</v>
      </c>
      <c r="AR70" s="6">
        <f t="shared" si="32"/>
        <v>1609955</v>
      </c>
      <c r="AS70" s="9">
        <f t="shared" si="33"/>
        <v>-4141715</v>
      </c>
      <c r="AT70" s="9">
        <f t="shared" si="34"/>
        <v>106824</v>
      </c>
      <c r="AU70" s="6">
        <f t="shared" si="35"/>
        <v>-8429</v>
      </c>
    </row>
    <row r="71" spans="1:47" x14ac:dyDescent="0.25">
      <c r="A71" t="s">
        <v>105</v>
      </c>
      <c r="B71">
        <v>38405</v>
      </c>
      <c r="C71" s="6">
        <f>VLOOKUP(B71,'ER Contributions'!A:D,4,FALSE)</f>
        <v>721022</v>
      </c>
      <c r="D71" s="7">
        <f>VLOOKUP(B71,'ER Contributions'!A:D,3,FALSE)</f>
        <v>6.0459999999999995E-4</v>
      </c>
      <c r="E71" s="9">
        <f>VLOOKUP(B71,'75 - Summary Exhibit'!A:N,3,FALSE)</f>
        <v>14356316</v>
      </c>
      <c r="F71" s="9">
        <f>VLOOKUP(B71,'75 - Summary Exhibit'!A:N,4,FALSE)</f>
        <v>139381</v>
      </c>
      <c r="G71" s="9">
        <f>VLOOKUP(B71,'75 - Summary Exhibit'!A:N,5,FALSE)</f>
        <v>124319</v>
      </c>
      <c r="H71" s="9">
        <f>VLOOKUP(B71,'75 - Summary Exhibit'!A:N,6,FALSE)</f>
        <v>1149410</v>
      </c>
      <c r="I71" s="6">
        <f>VLOOKUP(B71,'75 - Summary Exhibit'!A:N,7,FALSE)</f>
        <v>424505</v>
      </c>
      <c r="J71" s="6">
        <f>VLOOKUP(B71,'75 - Summary Exhibit'!A:N,8,FALSE)</f>
        <v>39725</v>
      </c>
      <c r="K71" s="6">
        <f>VLOOKUP(B71,'75 - Summary Exhibit'!A:N,9,FALSE)</f>
        <v>0</v>
      </c>
      <c r="L71" s="6">
        <f>VLOOKUP(B71,'75 - Summary Exhibit'!A:N,10,FALSE)</f>
        <v>6533897</v>
      </c>
      <c r="M71" s="6">
        <f>VLOOKUP(B71,'75 - Summary Exhibit'!A:N,11,FALSE)</f>
        <v>1862726</v>
      </c>
      <c r="N71" s="6">
        <f>VLOOKUP(B71,'75 - Summary Exhibit'!A:N,12,FALSE)</f>
        <v>-1601070</v>
      </c>
      <c r="O71" s="6">
        <f>VLOOKUP(B71,'75 - Summary Exhibit'!A:N,13,FALSE)</f>
        <v>-577235</v>
      </c>
      <c r="P71" s="6">
        <f t="shared" si="24"/>
        <v>-2178305</v>
      </c>
      <c r="Q71" s="6">
        <f>VLOOKUP(B71,'75- Deferred Amortization'!A:G,3,FALSE)</f>
        <v>-2165622</v>
      </c>
      <c r="R71" s="6">
        <f>VLOOKUP(B71,'75- Deferred Amortization'!A:G,4,FALSE)</f>
        <v>-1894987</v>
      </c>
      <c r="S71" s="6">
        <f>VLOOKUP(B71,'75- Deferred Amortization'!A:G,5,FALSE)</f>
        <v>-1590836</v>
      </c>
      <c r="T71" s="6">
        <f>VLOOKUP(B71,'75- Deferred Amortization'!A:G,6,FALSE)</f>
        <v>-947289</v>
      </c>
      <c r="U71" s="6">
        <f>VLOOKUP(B71,'75- Deferred Amortization'!A:G,7,FALSE)</f>
        <v>0</v>
      </c>
      <c r="V71" s="6">
        <f t="shared" si="25"/>
        <v>-8</v>
      </c>
      <c r="W71" s="6">
        <f t="shared" si="26"/>
        <v>1</v>
      </c>
      <c r="X71">
        <v>2</v>
      </c>
      <c r="Z71" s="226">
        <f>VLOOKUP(B71,'Noncap Contr Alloc'!A:C,3,FALSE)</f>
        <v>109134</v>
      </c>
      <c r="AC71" s="9">
        <v>18612492</v>
      </c>
      <c r="AD71" s="9">
        <v>109885</v>
      </c>
      <c r="AE71" s="9">
        <v>0</v>
      </c>
      <c r="AF71" s="9">
        <v>1522342</v>
      </c>
      <c r="AG71" s="6">
        <v>707322</v>
      </c>
      <c r="AH71" s="6">
        <v>346465</v>
      </c>
      <c r="AI71" s="6">
        <v>9521</v>
      </c>
      <c r="AJ71" s="6">
        <v>4523240</v>
      </c>
      <c r="AK71" s="6">
        <v>2811333</v>
      </c>
      <c r="AM71" s="6">
        <f t="shared" si="27"/>
        <v>-282817</v>
      </c>
      <c r="AN71" s="6">
        <f t="shared" si="28"/>
        <v>-948607</v>
      </c>
      <c r="AO71" s="9">
        <f t="shared" si="29"/>
        <v>29496</v>
      </c>
      <c r="AP71" s="6">
        <f t="shared" si="30"/>
        <v>-306740</v>
      </c>
      <c r="AQ71" s="9">
        <f t="shared" si="31"/>
        <v>-372932</v>
      </c>
      <c r="AR71" s="6">
        <f t="shared" si="32"/>
        <v>2010657</v>
      </c>
      <c r="AS71" s="9">
        <f t="shared" si="33"/>
        <v>-4256176</v>
      </c>
      <c r="AT71" s="9">
        <f t="shared" si="34"/>
        <v>124319</v>
      </c>
      <c r="AU71" s="6">
        <f t="shared" si="35"/>
        <v>-9521</v>
      </c>
    </row>
    <row r="72" spans="1:47" x14ac:dyDescent="0.25">
      <c r="A72" t="s">
        <v>106</v>
      </c>
      <c r="B72">
        <v>38605</v>
      </c>
      <c r="C72" s="6">
        <f>VLOOKUP(B72,'ER Contributions'!A:D,4,FALSE)</f>
        <v>789246</v>
      </c>
      <c r="D72" s="7">
        <f>VLOOKUP(B72,'ER Contributions'!A:D,3,FALSE)</f>
        <v>6.3259999999999998E-4</v>
      </c>
      <c r="E72" s="9">
        <f>VLOOKUP(B72,'75 - Summary Exhibit'!A:N,3,FALSE)</f>
        <v>15021043</v>
      </c>
      <c r="F72" s="9">
        <f>VLOOKUP(B72,'75 - Summary Exhibit'!A:N,4,FALSE)</f>
        <v>145834</v>
      </c>
      <c r="G72" s="9">
        <f>VLOOKUP(B72,'75 - Summary Exhibit'!A:N,5,FALSE)</f>
        <v>130076</v>
      </c>
      <c r="H72" s="9">
        <f>VLOOKUP(B72,'75 - Summary Exhibit'!A:N,6,FALSE)</f>
        <v>1202630</v>
      </c>
      <c r="I72" s="6">
        <f>VLOOKUP(B72,'75 - Summary Exhibit'!A:N,7,FALSE)</f>
        <v>967316</v>
      </c>
      <c r="J72" s="6">
        <f>VLOOKUP(B72,'75 - Summary Exhibit'!A:N,8,FALSE)</f>
        <v>41565</v>
      </c>
      <c r="K72" s="6">
        <f>VLOOKUP(B72,'75 - Summary Exhibit'!A:N,9,FALSE)</f>
        <v>0</v>
      </c>
      <c r="L72" s="6">
        <f>VLOOKUP(B72,'75 - Summary Exhibit'!A:N,10,FALSE)</f>
        <v>6836430</v>
      </c>
      <c r="M72" s="6">
        <f>VLOOKUP(B72,'75 - Summary Exhibit'!A:N,11,FALSE)</f>
        <v>1825575</v>
      </c>
      <c r="N72" s="6">
        <f>VLOOKUP(B72,'75 - Summary Exhibit'!A:N,12,FALSE)</f>
        <v>-1675202</v>
      </c>
      <c r="O72" s="6">
        <f>VLOOKUP(B72,'75 - Summary Exhibit'!A:N,13,FALSE)</f>
        <v>-788308</v>
      </c>
      <c r="P72" s="6">
        <f t="shared" si="24"/>
        <v>-2463510</v>
      </c>
      <c r="Q72" s="6">
        <f>VLOOKUP(B72,'75- Deferred Amortization'!A:G,3,FALSE)</f>
        <v>-2400579</v>
      </c>
      <c r="R72" s="6">
        <f>VLOOKUP(B72,'75- Deferred Amortization'!A:G,4,FALSE)</f>
        <v>-1660196</v>
      </c>
      <c r="S72" s="6">
        <f>VLOOKUP(B72,'75- Deferred Amortization'!A:G,5,FALSE)</f>
        <v>-1562745</v>
      </c>
      <c r="T72" s="6">
        <f>VLOOKUP(B72,'75- Deferred Amortization'!A:G,6,FALSE)</f>
        <v>-634195</v>
      </c>
      <c r="U72" s="6">
        <f>VLOOKUP(B72,'75- Deferred Amortization'!A:G,7,FALSE)</f>
        <v>0</v>
      </c>
      <c r="V72" s="6">
        <f t="shared" si="25"/>
        <v>-8</v>
      </c>
      <c r="W72" s="6">
        <f t="shared" si="26"/>
        <v>1</v>
      </c>
      <c r="X72">
        <v>2</v>
      </c>
      <c r="Z72" s="226">
        <f>VLOOKUP(B72,'Noncap Contr Alloc'!A:C,3,FALSE)</f>
        <v>114188</v>
      </c>
      <c r="AC72" s="9">
        <v>19740126</v>
      </c>
      <c r="AD72" s="9">
        <v>116543</v>
      </c>
      <c r="AE72" s="9">
        <v>0</v>
      </c>
      <c r="AF72" s="9">
        <v>1614572</v>
      </c>
      <c r="AG72" s="6">
        <v>1209145</v>
      </c>
      <c r="AH72" s="6">
        <v>367456</v>
      </c>
      <c r="AI72" s="6">
        <v>10098</v>
      </c>
      <c r="AJ72" s="6">
        <v>4797280</v>
      </c>
      <c r="AK72" s="6">
        <v>2670993</v>
      </c>
      <c r="AM72" s="6">
        <f t="shared" si="27"/>
        <v>-241829</v>
      </c>
      <c r="AN72" s="6">
        <f t="shared" si="28"/>
        <v>-845418</v>
      </c>
      <c r="AO72" s="9">
        <f t="shared" si="29"/>
        <v>29291</v>
      </c>
      <c r="AP72" s="6">
        <f t="shared" si="30"/>
        <v>-325891</v>
      </c>
      <c r="AQ72" s="9">
        <f t="shared" si="31"/>
        <v>-411942</v>
      </c>
      <c r="AR72" s="6">
        <f t="shared" si="32"/>
        <v>2039150</v>
      </c>
      <c r="AS72" s="9">
        <f t="shared" si="33"/>
        <v>-4719083</v>
      </c>
      <c r="AT72" s="9">
        <f t="shared" si="34"/>
        <v>130076</v>
      </c>
      <c r="AU72" s="6">
        <f t="shared" si="35"/>
        <v>-10098</v>
      </c>
    </row>
    <row r="73" spans="1:47" x14ac:dyDescent="0.25">
      <c r="A73" t="s">
        <v>64</v>
      </c>
      <c r="B73">
        <v>32005</v>
      </c>
      <c r="C73" s="6">
        <f>VLOOKUP(B73,'ER Contributions'!A:D,4,FALSE)</f>
        <v>369936</v>
      </c>
      <c r="D73" s="7">
        <f>VLOOKUP(B73,'ER Contributions'!A:D,3,FALSE)</f>
        <v>3.165E-4</v>
      </c>
      <c r="E73" s="9">
        <f>VLOOKUP(B73,'75 - Summary Exhibit'!A:N,3,FALSE)</f>
        <v>7515665</v>
      </c>
      <c r="F73" s="9">
        <f>VLOOKUP(B73,'75 - Summary Exhibit'!A:N,4,FALSE)</f>
        <v>72967</v>
      </c>
      <c r="G73" s="9">
        <f>VLOOKUP(B73,'75 - Summary Exhibit'!A:N,5,FALSE)</f>
        <v>65082</v>
      </c>
      <c r="H73" s="9">
        <f>VLOOKUP(B73,'75 - Summary Exhibit'!A:N,6,FALSE)</f>
        <v>601727</v>
      </c>
      <c r="I73" s="6">
        <f>VLOOKUP(B73,'75 - Summary Exhibit'!A:N,7,FALSE)</f>
        <v>1640604</v>
      </c>
      <c r="J73" s="6">
        <f>VLOOKUP(B73,'75 - Summary Exhibit'!A:N,8,FALSE)</f>
        <v>20797</v>
      </c>
      <c r="K73" s="6">
        <f>VLOOKUP(B73,'75 - Summary Exhibit'!A:N,9,FALSE)</f>
        <v>0</v>
      </c>
      <c r="L73" s="6">
        <f>VLOOKUP(B73,'75 - Summary Exhibit'!A:N,10,FALSE)</f>
        <v>3420556</v>
      </c>
      <c r="M73" s="6">
        <f>VLOOKUP(B73,'75 - Summary Exhibit'!A:N,11,FALSE)</f>
        <v>290348</v>
      </c>
      <c r="N73" s="6">
        <f>VLOOKUP(B73,'75 - Summary Exhibit'!A:N,12,FALSE)</f>
        <v>-838175</v>
      </c>
      <c r="O73" s="6">
        <f>VLOOKUP(B73,'75 - Summary Exhibit'!A:N,13,FALSE)</f>
        <v>260601</v>
      </c>
      <c r="P73" s="6">
        <f t="shared" si="24"/>
        <v>-577574</v>
      </c>
      <c r="Q73" s="6">
        <f>VLOOKUP(B73,'75- Deferred Amortization'!A:G,3,FALSE)</f>
        <v>-621187</v>
      </c>
      <c r="R73" s="6">
        <f>VLOOKUP(B73,'75- Deferred Amortization'!A:G,4,FALSE)</f>
        <v>-372901</v>
      </c>
      <c r="S73" s="6">
        <f>VLOOKUP(B73,'75- Deferred Amortization'!A:G,5,FALSE)</f>
        <v>-319038</v>
      </c>
      <c r="T73" s="6">
        <f>VLOOKUP(B73,'75- Deferred Amortization'!A:G,6,FALSE)</f>
        <v>-38194</v>
      </c>
      <c r="U73" s="6">
        <f>VLOOKUP(B73,'75- Deferred Amortization'!A:G,7,FALSE)</f>
        <v>0</v>
      </c>
      <c r="V73" s="6">
        <f t="shared" si="25"/>
        <v>-2</v>
      </c>
      <c r="W73" s="6">
        <f t="shared" si="26"/>
        <v>-1</v>
      </c>
      <c r="X73">
        <v>2</v>
      </c>
      <c r="Z73" s="226">
        <f>VLOOKUP(B73,'Noncap Contr Alloc'!A:C,3,FALSE)</f>
        <v>57130</v>
      </c>
      <c r="AC73" s="9">
        <v>8651287</v>
      </c>
      <c r="AD73" s="9">
        <v>51076</v>
      </c>
      <c r="AE73" s="9">
        <v>0</v>
      </c>
      <c r="AF73" s="9">
        <v>707601</v>
      </c>
      <c r="AG73" s="6">
        <v>790665</v>
      </c>
      <c r="AH73" s="6">
        <v>161041</v>
      </c>
      <c r="AI73" s="6">
        <v>4425</v>
      </c>
      <c r="AJ73" s="6">
        <v>2102451</v>
      </c>
      <c r="AK73" s="6">
        <v>501762</v>
      </c>
      <c r="AM73" s="6">
        <f t="shared" si="27"/>
        <v>849939</v>
      </c>
      <c r="AN73" s="6">
        <f t="shared" si="28"/>
        <v>-211414</v>
      </c>
      <c r="AO73" s="9">
        <f t="shared" si="29"/>
        <v>21891</v>
      </c>
      <c r="AP73" s="6">
        <f t="shared" si="30"/>
        <v>-140244</v>
      </c>
      <c r="AQ73" s="9">
        <f t="shared" si="31"/>
        <v>-105874</v>
      </c>
      <c r="AR73" s="6">
        <f t="shared" si="32"/>
        <v>1318105</v>
      </c>
      <c r="AS73" s="9">
        <f t="shared" si="33"/>
        <v>-1135622</v>
      </c>
      <c r="AT73" s="9">
        <f t="shared" si="34"/>
        <v>65082</v>
      </c>
      <c r="AU73" s="6">
        <f t="shared" si="35"/>
        <v>-4425</v>
      </c>
    </row>
    <row r="74" spans="1:47" x14ac:dyDescent="0.25">
      <c r="A74" t="s">
        <v>107</v>
      </c>
      <c r="B74">
        <v>39105</v>
      </c>
      <c r="C74" s="6">
        <f>VLOOKUP(B74,'ER Contributions'!A:D,4,FALSE)</f>
        <v>703538</v>
      </c>
      <c r="D74" s="7">
        <f>VLOOKUP(B74,'ER Contributions'!A:D,3,FALSE)</f>
        <v>5.7339999999999995E-4</v>
      </c>
      <c r="E74" s="9">
        <f>VLOOKUP(B74,'75 - Summary Exhibit'!A:N,3,FALSE)</f>
        <v>13617340</v>
      </c>
      <c r="F74" s="9">
        <f>VLOOKUP(B74,'75 - Summary Exhibit'!A:N,4,FALSE)</f>
        <v>132206</v>
      </c>
      <c r="G74" s="9">
        <f>VLOOKUP(B74,'75 - Summary Exhibit'!A:N,5,FALSE)</f>
        <v>117920</v>
      </c>
      <c r="H74" s="9">
        <f>VLOOKUP(B74,'75 - Summary Exhibit'!A:N,6,FALSE)</f>
        <v>1090245</v>
      </c>
      <c r="I74" s="6">
        <f>VLOOKUP(B74,'75 - Summary Exhibit'!A:N,7,FALSE)</f>
        <v>290692</v>
      </c>
      <c r="J74" s="6">
        <f>VLOOKUP(B74,'75 - Summary Exhibit'!A:N,8,FALSE)</f>
        <v>37681</v>
      </c>
      <c r="K74" s="6">
        <f>VLOOKUP(B74,'75 - Summary Exhibit'!A:N,9,FALSE)</f>
        <v>0</v>
      </c>
      <c r="L74" s="6">
        <f>VLOOKUP(B74,'75 - Summary Exhibit'!A:N,10,FALSE)</f>
        <v>6197572</v>
      </c>
      <c r="M74" s="6">
        <f>VLOOKUP(B74,'75 - Summary Exhibit'!A:N,11,FALSE)</f>
        <v>4277458</v>
      </c>
      <c r="N74" s="6">
        <f>VLOOKUP(B74,'75 - Summary Exhibit'!A:N,12,FALSE)</f>
        <v>-1518657</v>
      </c>
      <c r="O74" s="6">
        <f>VLOOKUP(B74,'75 - Summary Exhibit'!A:N,13,FALSE)</f>
        <v>-2178441</v>
      </c>
      <c r="P74" s="6">
        <f t="shared" si="24"/>
        <v>-3697098</v>
      </c>
      <c r="Q74" s="6">
        <f>VLOOKUP(B74,'75- Deferred Amortization'!A:G,3,FALSE)</f>
        <v>-3434401</v>
      </c>
      <c r="R74" s="6">
        <f>VLOOKUP(B74,'75- Deferred Amortization'!A:G,4,FALSE)</f>
        <v>-2573425</v>
      </c>
      <c r="S74" s="6">
        <f>VLOOKUP(B74,'75- Deferred Amortization'!A:G,5,FALSE)</f>
        <v>-1837694</v>
      </c>
      <c r="T74" s="6">
        <f>VLOOKUP(B74,'75- Deferred Amortization'!A:G,6,FALSE)</f>
        <v>-1036127</v>
      </c>
      <c r="U74" s="6">
        <f>VLOOKUP(B74,'75- Deferred Amortization'!A:G,7,FALSE)</f>
        <v>0</v>
      </c>
      <c r="V74" s="6">
        <f t="shared" si="25"/>
        <v>6</v>
      </c>
      <c r="W74" s="6">
        <f t="shared" si="26"/>
        <v>-1</v>
      </c>
      <c r="X74">
        <v>2</v>
      </c>
      <c r="Z74" s="226">
        <f>VLOOKUP(B74,'Noncap Contr Alloc'!A:C,3,FALSE)</f>
        <v>103502</v>
      </c>
      <c r="AC74" s="9">
        <v>19224763</v>
      </c>
      <c r="AD74" s="9">
        <v>113500</v>
      </c>
      <c r="AE74" s="9">
        <v>0</v>
      </c>
      <c r="AF74" s="9">
        <v>1572420</v>
      </c>
      <c r="AG74" s="6">
        <v>363365</v>
      </c>
      <c r="AH74" s="6">
        <v>357862</v>
      </c>
      <c r="AI74" s="6">
        <v>9834</v>
      </c>
      <c r="AJ74" s="6">
        <v>4672035</v>
      </c>
      <c r="AK74" s="6">
        <v>4787923</v>
      </c>
      <c r="AM74" s="6">
        <f t="shared" si="27"/>
        <v>-72673</v>
      </c>
      <c r="AN74" s="6">
        <f t="shared" si="28"/>
        <v>-510465</v>
      </c>
      <c r="AO74" s="9">
        <f t="shared" si="29"/>
        <v>18706</v>
      </c>
      <c r="AP74" s="6">
        <f t="shared" si="30"/>
        <v>-320181</v>
      </c>
      <c r="AQ74" s="9">
        <f t="shared" si="31"/>
        <v>-482175</v>
      </c>
      <c r="AR74" s="6">
        <f t="shared" si="32"/>
        <v>1525537</v>
      </c>
      <c r="AS74" s="9">
        <f t="shared" si="33"/>
        <v>-5607423</v>
      </c>
      <c r="AT74" s="9">
        <f t="shared" si="34"/>
        <v>117920</v>
      </c>
      <c r="AU74" s="6">
        <f t="shared" si="35"/>
        <v>-9834</v>
      </c>
    </row>
    <row r="75" spans="1:47" x14ac:dyDescent="0.25">
      <c r="A75" t="s">
        <v>108</v>
      </c>
      <c r="B75">
        <v>39205</v>
      </c>
      <c r="C75" s="6">
        <f>VLOOKUP(B75,'ER Contributions'!A:D,4,FALSE)</f>
        <v>5785713</v>
      </c>
      <c r="D75" s="7">
        <f>VLOOKUP(B75,'ER Contributions'!A:D,3,FALSE)</f>
        <v>4.8474E-3</v>
      </c>
      <c r="E75" s="9">
        <f>VLOOKUP(B75,'75 - Summary Exhibit'!A:N,3,FALSE)</f>
        <v>115109829</v>
      </c>
      <c r="F75" s="9">
        <f>VLOOKUP(B75,'75 - Summary Exhibit'!A:N,4,FALSE)</f>
        <v>1117564</v>
      </c>
      <c r="G75" s="9">
        <f>VLOOKUP(B75,'75 - Summary Exhibit'!A:N,5,FALSE)</f>
        <v>996801</v>
      </c>
      <c r="H75" s="9">
        <f>VLOOKUP(B75,'75 - Summary Exhibit'!A:N,6,FALSE)</f>
        <v>9216037</v>
      </c>
      <c r="I75" s="6">
        <f>VLOOKUP(B75,'75 - Summary Exhibit'!A:N,7,FALSE)</f>
        <v>9292363</v>
      </c>
      <c r="J75" s="6">
        <f>VLOOKUP(B75,'75 - Summary Exhibit'!A:N,8,FALSE)</f>
        <v>318521</v>
      </c>
      <c r="K75" s="6">
        <f>VLOOKUP(B75,'75 - Summary Exhibit'!A:N,9,FALSE)</f>
        <v>0</v>
      </c>
      <c r="L75" s="6">
        <f>VLOOKUP(B75,'75 - Summary Exhibit'!A:N,10,FALSE)</f>
        <v>52389194</v>
      </c>
      <c r="M75" s="6">
        <f>VLOOKUP(B75,'75 - Summary Exhibit'!A:N,11,FALSE)</f>
        <v>3530558</v>
      </c>
      <c r="N75" s="6">
        <f>VLOOKUP(B75,'75 - Summary Exhibit'!A:N,12,FALSE)</f>
        <v>-12837472</v>
      </c>
      <c r="O75" s="6">
        <f>VLOOKUP(B75,'75 - Summary Exhibit'!A:N,13,FALSE)</f>
        <v>3347228</v>
      </c>
      <c r="P75" s="6">
        <f t="shared" si="24"/>
        <v>-9490244</v>
      </c>
      <c r="Q75" s="6">
        <f>VLOOKUP(B75,'75- Deferred Amortization'!A:G,3,FALSE)</f>
        <v>-11752289</v>
      </c>
      <c r="R75" s="6">
        <f>VLOOKUP(B75,'75- Deferred Amortization'!A:G,4,FALSE)</f>
        <v>-8344973</v>
      </c>
      <c r="S75" s="6">
        <f>VLOOKUP(B75,'75- Deferred Amortization'!A:G,5,FALSE)</f>
        <v>-10379491</v>
      </c>
      <c r="T75" s="6">
        <f>VLOOKUP(B75,'75- Deferred Amortization'!A:G,6,FALSE)</f>
        <v>-5138753</v>
      </c>
      <c r="U75" s="6">
        <f>VLOOKUP(B75,'75- Deferred Amortization'!A:G,7,FALSE)</f>
        <v>0</v>
      </c>
      <c r="V75" s="6">
        <f t="shared" si="25"/>
        <v>-5</v>
      </c>
      <c r="W75" s="6">
        <f t="shared" si="26"/>
        <v>-2</v>
      </c>
      <c r="X75">
        <v>2</v>
      </c>
      <c r="Z75" s="226">
        <f>VLOOKUP(B75,'Noncap Contr Alloc'!A:C,3,FALSE)</f>
        <v>874985</v>
      </c>
      <c r="AC75" s="9">
        <v>151182084</v>
      </c>
      <c r="AD75" s="9">
        <v>892557</v>
      </c>
      <c r="AE75" s="9">
        <v>0</v>
      </c>
      <c r="AF75" s="9">
        <v>12365393</v>
      </c>
      <c r="AG75" s="6">
        <v>13711714</v>
      </c>
      <c r="AH75" s="6">
        <v>2814202</v>
      </c>
      <c r="AI75" s="6">
        <v>77336</v>
      </c>
      <c r="AJ75" s="6">
        <v>36740532</v>
      </c>
      <c r="AK75" s="6">
        <v>3031784</v>
      </c>
      <c r="AM75" s="6">
        <f t="shared" si="27"/>
        <v>-4419351</v>
      </c>
      <c r="AN75" s="6">
        <f t="shared" si="28"/>
        <v>498774</v>
      </c>
      <c r="AO75" s="9">
        <f t="shared" si="29"/>
        <v>225007</v>
      </c>
      <c r="AP75" s="6">
        <f t="shared" si="30"/>
        <v>-2495681</v>
      </c>
      <c r="AQ75" s="9">
        <f t="shared" si="31"/>
        <v>-3149356</v>
      </c>
      <c r="AR75" s="6">
        <f t="shared" si="32"/>
        <v>15648662</v>
      </c>
      <c r="AS75" s="9">
        <f t="shared" si="33"/>
        <v>-36072255</v>
      </c>
      <c r="AT75" s="9">
        <f t="shared" si="34"/>
        <v>996801</v>
      </c>
      <c r="AU75" s="6">
        <f t="shared" si="35"/>
        <v>-77336</v>
      </c>
    </row>
    <row r="76" spans="1:47" x14ac:dyDescent="0.25">
      <c r="A76" t="s">
        <v>109</v>
      </c>
      <c r="B76">
        <v>39605</v>
      </c>
      <c r="C76" s="6">
        <f>VLOOKUP(B76,'ER Contributions'!A:D,4,FALSE)</f>
        <v>949599</v>
      </c>
      <c r="D76" s="7">
        <f>VLOOKUP(B76,'ER Contributions'!A:D,3,FALSE)</f>
        <v>8.1430000000000001E-4</v>
      </c>
      <c r="E76" s="9">
        <f>VLOOKUP(B76,'75 - Summary Exhibit'!A:N,3,FALSE)</f>
        <v>19338037</v>
      </c>
      <c r="F76" s="9">
        <f>VLOOKUP(B76,'75 - Summary Exhibit'!A:N,4,FALSE)</f>
        <v>187747</v>
      </c>
      <c r="G76" s="9">
        <f>VLOOKUP(B76,'75 - Summary Exhibit'!A:N,5,FALSE)</f>
        <v>167459</v>
      </c>
      <c r="H76" s="9">
        <f>VLOOKUP(B76,'75 - Summary Exhibit'!A:N,6,FALSE)</f>
        <v>1548261</v>
      </c>
      <c r="I76" s="6">
        <f>VLOOKUP(B76,'75 - Summary Exhibit'!A:N,7,FALSE)</f>
        <v>1058755</v>
      </c>
      <c r="J76" s="6">
        <f>VLOOKUP(B76,'75 - Summary Exhibit'!A:N,8,FALSE)</f>
        <v>53510</v>
      </c>
      <c r="K76" s="6">
        <f>VLOOKUP(B76,'75 - Summary Exhibit'!A:N,9,FALSE)</f>
        <v>0</v>
      </c>
      <c r="L76" s="6">
        <f>VLOOKUP(B76,'75 - Summary Exhibit'!A:N,10,FALSE)</f>
        <v>8801196</v>
      </c>
      <c r="M76" s="6">
        <f>VLOOKUP(B76,'75 - Summary Exhibit'!A:N,11,FALSE)</f>
        <v>988804</v>
      </c>
      <c r="N76" s="6">
        <f>VLOOKUP(B76,'75 - Summary Exhibit'!A:N,12,FALSE)</f>
        <v>-2156650</v>
      </c>
      <c r="O76" s="6">
        <f>VLOOKUP(B76,'75 - Summary Exhibit'!A:N,13,FALSE)</f>
        <v>108505</v>
      </c>
      <c r="P76" s="6">
        <f t="shared" si="24"/>
        <v>-2048145</v>
      </c>
      <c r="Q76" s="6">
        <f>VLOOKUP(B76,'75- Deferred Amortization'!A:G,3,FALSE)</f>
        <v>-2236745</v>
      </c>
      <c r="R76" s="6">
        <f>VLOOKUP(B76,'75- Deferred Amortization'!A:G,4,FALSE)</f>
        <v>-1805957</v>
      </c>
      <c r="S76" s="6">
        <f>VLOOKUP(B76,'75- Deferred Amortization'!A:G,5,FALSE)</f>
        <v>-1851306</v>
      </c>
      <c r="T76" s="6">
        <f>VLOOKUP(B76,'75- Deferred Amortization'!A:G,6,FALSE)</f>
        <v>-987281</v>
      </c>
      <c r="U76" s="6">
        <f>VLOOKUP(B76,'75- Deferred Amortization'!A:G,7,FALSE)</f>
        <v>0</v>
      </c>
      <c r="V76" s="6">
        <f t="shared" si="25"/>
        <v>7</v>
      </c>
      <c r="W76" s="6">
        <f t="shared" si="26"/>
        <v>1</v>
      </c>
      <c r="X76">
        <v>2</v>
      </c>
      <c r="Z76" s="226">
        <f>VLOOKUP(B76,'Noncap Contr Alloc'!A:C,3,FALSE)</f>
        <v>146986</v>
      </c>
      <c r="AC76" s="9">
        <v>25448910</v>
      </c>
      <c r="AD76" s="9">
        <v>150247</v>
      </c>
      <c r="AE76" s="9">
        <v>0</v>
      </c>
      <c r="AF76" s="9">
        <v>2081502</v>
      </c>
      <c r="AG76" s="6">
        <v>1631051</v>
      </c>
      <c r="AH76" s="6">
        <v>473723</v>
      </c>
      <c r="AI76" s="6">
        <v>13018</v>
      </c>
      <c r="AJ76" s="6">
        <v>6184638</v>
      </c>
      <c r="AK76" s="6">
        <v>1106573</v>
      </c>
      <c r="AM76" s="6">
        <f t="shared" si="27"/>
        <v>-572296</v>
      </c>
      <c r="AN76" s="6">
        <f t="shared" si="28"/>
        <v>-117769</v>
      </c>
      <c r="AO76" s="9">
        <f t="shared" si="29"/>
        <v>37500</v>
      </c>
      <c r="AP76" s="6">
        <f t="shared" si="30"/>
        <v>-420213</v>
      </c>
      <c r="AQ76" s="9">
        <f t="shared" si="31"/>
        <v>-533241</v>
      </c>
      <c r="AR76" s="6">
        <f t="shared" si="32"/>
        <v>2616558</v>
      </c>
      <c r="AS76" s="9">
        <f t="shared" si="33"/>
        <v>-6110873</v>
      </c>
      <c r="AT76" s="9">
        <f t="shared" si="34"/>
        <v>167459</v>
      </c>
      <c r="AU76" s="6">
        <f t="shared" si="35"/>
        <v>-13018</v>
      </c>
    </row>
    <row r="77" spans="1:47" x14ac:dyDescent="0.25">
      <c r="A77" t="s">
        <v>60</v>
      </c>
      <c r="B77">
        <v>31205</v>
      </c>
      <c r="C77" s="6">
        <f>VLOOKUP(B77,'ER Contributions'!A:D,4,FALSE)</f>
        <v>541878</v>
      </c>
      <c r="D77" s="7">
        <f>VLOOKUP(B77,'ER Contributions'!A:D,3,FALSE)</f>
        <v>4.0299999999999998E-4</v>
      </c>
      <c r="E77" s="9">
        <f>VLOOKUP(B77,'75 - Summary Exhibit'!A:N,3,FALSE)</f>
        <v>9569955</v>
      </c>
      <c r="F77" s="9">
        <f>VLOOKUP(B77,'75 - Summary Exhibit'!A:N,4,FALSE)</f>
        <v>92912</v>
      </c>
      <c r="G77" s="9">
        <f>VLOOKUP(B77,'75 - Summary Exhibit'!A:N,5,FALSE)</f>
        <v>82872</v>
      </c>
      <c r="H77" s="9">
        <f>VLOOKUP(B77,'75 - Summary Exhibit'!A:N,6,FALSE)</f>
        <v>766199</v>
      </c>
      <c r="I77" s="6">
        <f>VLOOKUP(B77,'75 - Summary Exhibit'!A:N,7,FALSE)</f>
        <v>367820</v>
      </c>
      <c r="J77" s="6">
        <f>VLOOKUP(B77,'75 - Summary Exhibit'!A:N,8,FALSE)</f>
        <v>26481</v>
      </c>
      <c r="K77" s="6">
        <f>VLOOKUP(B77,'75 - Summary Exhibit'!A:N,9,FALSE)</f>
        <v>0</v>
      </c>
      <c r="L77" s="6">
        <f>VLOOKUP(B77,'75 - Summary Exhibit'!A:N,10,FALSE)</f>
        <v>4355512</v>
      </c>
      <c r="M77" s="6">
        <f>VLOOKUP(B77,'75 - Summary Exhibit'!A:N,11,FALSE)</f>
        <v>940248</v>
      </c>
      <c r="N77" s="6">
        <f>VLOOKUP(B77,'75 - Summary Exhibit'!A:N,12,FALSE)</f>
        <v>-1067277</v>
      </c>
      <c r="O77" s="6">
        <f>VLOOKUP(B77,'75 - Summary Exhibit'!A:N,13,FALSE)</f>
        <v>-671287</v>
      </c>
      <c r="P77" s="6">
        <f t="shared" si="24"/>
        <v>-1738564</v>
      </c>
      <c r="Q77" s="6">
        <f>VLOOKUP(B77,'75- Deferred Amortization'!A:G,3,FALSE)</f>
        <v>-1500051</v>
      </c>
      <c r="R77" s="6">
        <f>VLOOKUP(B77,'75- Deferred Amortization'!A:G,4,FALSE)</f>
        <v>-1066238</v>
      </c>
      <c r="S77" s="6">
        <f>VLOOKUP(B77,'75- Deferred Amortization'!A:G,5,FALSE)</f>
        <v>-1003523</v>
      </c>
      <c r="T77" s="6">
        <f>VLOOKUP(B77,'75- Deferred Amortization'!A:G,6,FALSE)</f>
        <v>-442626</v>
      </c>
      <c r="U77" s="6">
        <f>VLOOKUP(B77,'75- Deferred Amortization'!A:G,7,FALSE)</f>
        <v>0</v>
      </c>
      <c r="V77" s="6">
        <f t="shared" si="25"/>
        <v>1</v>
      </c>
      <c r="W77" s="6">
        <f t="shared" si="26"/>
        <v>0</v>
      </c>
      <c r="X77">
        <v>2</v>
      </c>
      <c r="Z77" s="226">
        <f>VLOOKUP(B77,'Noncap Contr Alloc'!A:C,3,FALSE)</f>
        <v>72744</v>
      </c>
      <c r="AC77" s="9">
        <v>12479342</v>
      </c>
      <c r="AD77" s="9">
        <v>73676</v>
      </c>
      <c r="AE77" s="9">
        <v>0</v>
      </c>
      <c r="AF77" s="9">
        <v>1020703</v>
      </c>
      <c r="AG77" s="6">
        <v>424310</v>
      </c>
      <c r="AH77" s="6">
        <v>232299</v>
      </c>
      <c r="AI77" s="6">
        <v>6384</v>
      </c>
      <c r="AJ77" s="6">
        <v>3032751</v>
      </c>
      <c r="AK77" s="6">
        <v>1703493</v>
      </c>
      <c r="AM77" s="6">
        <f t="shared" si="27"/>
        <v>-56490</v>
      </c>
      <c r="AN77" s="6">
        <f t="shared" si="28"/>
        <v>-763245</v>
      </c>
      <c r="AO77" s="9">
        <f t="shared" si="29"/>
        <v>19236</v>
      </c>
      <c r="AP77" s="6">
        <f t="shared" si="30"/>
        <v>-205818</v>
      </c>
      <c r="AQ77" s="9">
        <f t="shared" si="31"/>
        <v>-254504</v>
      </c>
      <c r="AR77" s="6">
        <f t="shared" si="32"/>
        <v>1322761</v>
      </c>
      <c r="AS77" s="9">
        <f t="shared" si="33"/>
        <v>-2909387</v>
      </c>
      <c r="AT77" s="9">
        <f t="shared" si="34"/>
        <v>82872</v>
      </c>
      <c r="AU77" s="6">
        <f t="shared" si="35"/>
        <v>-6384</v>
      </c>
    </row>
    <row r="78" spans="1:47" x14ac:dyDescent="0.25">
      <c r="A78" t="s">
        <v>110</v>
      </c>
      <c r="B78">
        <v>39705</v>
      </c>
      <c r="C78" s="6">
        <f>VLOOKUP(B78,'ER Contributions'!A:D,4,FALSE)</f>
        <v>962581</v>
      </c>
      <c r="D78" s="7">
        <f>VLOOKUP(B78,'ER Contributions'!A:D,3,FALSE)</f>
        <v>7.7079999999999998E-4</v>
      </c>
      <c r="E78" s="9">
        <f>VLOOKUP(B78,'75 - Summary Exhibit'!A:N,3,FALSE)</f>
        <v>18305170</v>
      </c>
      <c r="F78" s="9">
        <f>VLOOKUP(B78,'75 - Summary Exhibit'!A:N,4,FALSE)</f>
        <v>177719</v>
      </c>
      <c r="G78" s="9">
        <f>VLOOKUP(B78,'75 - Summary Exhibit'!A:N,5,FALSE)</f>
        <v>158515</v>
      </c>
      <c r="H78" s="9">
        <f>VLOOKUP(B78,'75 - Summary Exhibit'!A:N,6,FALSE)</f>
        <v>1465567</v>
      </c>
      <c r="I78" s="6">
        <f>VLOOKUP(B78,'75 - Summary Exhibit'!A:N,7,FALSE)</f>
        <v>748303</v>
      </c>
      <c r="J78" s="6">
        <f>VLOOKUP(B78,'75 - Summary Exhibit'!A:N,8,FALSE)</f>
        <v>50652</v>
      </c>
      <c r="K78" s="6">
        <f>VLOOKUP(B78,'75 - Summary Exhibit'!A:N,9,FALSE)</f>
        <v>0</v>
      </c>
      <c r="L78" s="6">
        <f>VLOOKUP(B78,'75 - Summary Exhibit'!A:N,10,FALSE)</f>
        <v>8331114</v>
      </c>
      <c r="M78" s="6">
        <f>VLOOKUP(B78,'75 - Summary Exhibit'!A:N,11,FALSE)</f>
        <v>216646</v>
      </c>
      <c r="N78" s="6">
        <f>VLOOKUP(B78,'75 - Summary Exhibit'!A:N,12,FALSE)</f>
        <v>-2041461</v>
      </c>
      <c r="O78" s="6">
        <f>VLOOKUP(B78,'75 - Summary Exhibit'!A:N,13,FALSE)</f>
        <v>-94724</v>
      </c>
      <c r="P78" s="6">
        <f t="shared" si="24"/>
        <v>-2136185</v>
      </c>
      <c r="Q78" s="6">
        <f>VLOOKUP(B78,'75- Deferred Amortization'!A:G,3,FALSE)</f>
        <v>-2083410</v>
      </c>
      <c r="R78" s="6">
        <f>VLOOKUP(B78,'75- Deferred Amortization'!A:G,4,FALSE)</f>
        <v>-1431222</v>
      </c>
      <c r="S78" s="6">
        <f>VLOOKUP(B78,'75- Deferred Amortization'!A:G,5,FALSE)</f>
        <v>-1630946</v>
      </c>
      <c r="T78" s="6">
        <f>VLOOKUP(B78,'75- Deferred Amortization'!A:G,6,FALSE)</f>
        <v>-902730</v>
      </c>
      <c r="U78" s="6">
        <f>VLOOKUP(B78,'75- Deferred Amortization'!A:G,7,FALSE)</f>
        <v>0</v>
      </c>
      <c r="V78" s="6">
        <f t="shared" si="25"/>
        <v>10</v>
      </c>
      <c r="W78" s="6">
        <f t="shared" si="26"/>
        <v>0</v>
      </c>
      <c r="X78">
        <v>2</v>
      </c>
      <c r="Z78" s="226">
        <f>VLOOKUP(B78,'Noncap Contr Alloc'!A:C,3,FALSE)</f>
        <v>139134</v>
      </c>
      <c r="AC78" s="9">
        <v>23221648</v>
      </c>
      <c r="AD78" s="9">
        <v>137097</v>
      </c>
      <c r="AE78" s="9">
        <v>0</v>
      </c>
      <c r="AF78" s="9">
        <v>1899331</v>
      </c>
      <c r="AG78" s="6">
        <v>287654</v>
      </c>
      <c r="AH78" s="6">
        <v>432263</v>
      </c>
      <c r="AI78" s="6">
        <v>11879</v>
      </c>
      <c r="AJ78" s="6">
        <v>5643365</v>
      </c>
      <c r="AK78" s="6">
        <v>606315</v>
      </c>
      <c r="AM78" s="6">
        <f t="shared" si="27"/>
        <v>460649</v>
      </c>
      <c r="AN78" s="6">
        <f t="shared" si="28"/>
        <v>-389669</v>
      </c>
      <c r="AO78" s="9">
        <f t="shared" si="29"/>
        <v>40622</v>
      </c>
      <c r="AP78" s="6">
        <f t="shared" si="30"/>
        <v>-381611</v>
      </c>
      <c r="AQ78" s="9">
        <f t="shared" si="31"/>
        <v>-433764</v>
      </c>
      <c r="AR78" s="6">
        <f t="shared" si="32"/>
        <v>2687749</v>
      </c>
      <c r="AS78" s="9">
        <f t="shared" si="33"/>
        <v>-4916478</v>
      </c>
      <c r="AT78" s="9">
        <f t="shared" si="34"/>
        <v>158515</v>
      </c>
      <c r="AU78" s="6">
        <f t="shared" si="35"/>
        <v>-11879</v>
      </c>
    </row>
    <row r="79" spans="1:47" x14ac:dyDescent="0.25">
      <c r="A79" t="s">
        <v>111</v>
      </c>
      <c r="B79">
        <v>39805</v>
      </c>
      <c r="C79" s="6">
        <f>VLOOKUP(B79,'ER Contributions'!A:D,4,FALSE)</f>
        <v>479755</v>
      </c>
      <c r="D79" s="7">
        <f>VLOOKUP(B79,'ER Contributions'!A:D,3,FALSE)</f>
        <v>3.881E-4</v>
      </c>
      <c r="E79" s="9">
        <f>VLOOKUP(B79,'75 - Summary Exhibit'!A:N,3,FALSE)</f>
        <v>9215512</v>
      </c>
      <c r="F79" s="9">
        <f>VLOOKUP(B79,'75 - Summary Exhibit'!A:N,4,FALSE)</f>
        <v>89470</v>
      </c>
      <c r="G79" s="9">
        <f>VLOOKUP(B79,'75 - Summary Exhibit'!A:N,5,FALSE)</f>
        <v>79802</v>
      </c>
      <c r="H79" s="9">
        <f>VLOOKUP(B79,'75 - Summary Exhibit'!A:N,6,FALSE)</f>
        <v>737821</v>
      </c>
      <c r="I79" s="6">
        <f>VLOOKUP(B79,'75 - Summary Exhibit'!A:N,7,FALSE)</f>
        <v>508298</v>
      </c>
      <c r="J79" s="6">
        <f>VLOOKUP(B79,'75 - Summary Exhibit'!A:N,8,FALSE)</f>
        <v>25500</v>
      </c>
      <c r="K79" s="6">
        <f>VLOOKUP(B79,'75 - Summary Exhibit'!A:N,9,FALSE)</f>
        <v>0</v>
      </c>
      <c r="L79" s="6">
        <f>VLOOKUP(B79,'75 - Summary Exhibit'!A:N,10,FALSE)</f>
        <v>4194197</v>
      </c>
      <c r="M79" s="6">
        <f>VLOOKUP(B79,'75 - Summary Exhibit'!A:N,11,FALSE)</f>
        <v>927034</v>
      </c>
      <c r="N79" s="6">
        <f>VLOOKUP(B79,'75 - Summary Exhibit'!A:N,12,FALSE)</f>
        <v>-1027747</v>
      </c>
      <c r="O79" s="6">
        <f>VLOOKUP(B79,'75 - Summary Exhibit'!A:N,13,FALSE)</f>
        <v>-183296</v>
      </c>
      <c r="P79" s="6">
        <f t="shared" si="24"/>
        <v>-1211043</v>
      </c>
      <c r="Q79" s="6">
        <f>VLOOKUP(B79,'75- Deferred Amortization'!A:G,3,FALSE)</f>
        <v>-1309307</v>
      </c>
      <c r="R79" s="6">
        <f>VLOOKUP(B79,'75- Deferred Amortization'!A:G,4,FALSE)</f>
        <v>-843899</v>
      </c>
      <c r="S79" s="6">
        <f>VLOOKUP(B79,'75- Deferred Amortization'!A:G,5,FALSE)</f>
        <v>-1064178</v>
      </c>
      <c r="T79" s="6">
        <f>VLOOKUP(B79,'75- Deferred Amortization'!A:G,6,FALSE)</f>
        <v>-513955</v>
      </c>
      <c r="U79" s="6">
        <f>VLOOKUP(B79,'75- Deferred Amortization'!A:G,7,FALSE)</f>
        <v>0</v>
      </c>
      <c r="V79" s="6">
        <f t="shared" si="25"/>
        <v>-5</v>
      </c>
      <c r="W79" s="6">
        <f t="shared" si="26"/>
        <v>-1</v>
      </c>
      <c r="X79">
        <v>2</v>
      </c>
      <c r="Z79" s="226">
        <f>VLOOKUP(B79,'Noncap Contr Alloc'!A:C,3,FALSE)</f>
        <v>70054</v>
      </c>
      <c r="AC79" s="9">
        <v>11699994</v>
      </c>
      <c r="AD79" s="9">
        <v>69075</v>
      </c>
      <c r="AE79" s="9">
        <v>0</v>
      </c>
      <c r="AF79" s="9">
        <v>956959</v>
      </c>
      <c r="AG79" s="6">
        <v>324951</v>
      </c>
      <c r="AH79" s="6">
        <v>217791</v>
      </c>
      <c r="AI79" s="6">
        <v>5985</v>
      </c>
      <c r="AJ79" s="6">
        <v>2843353</v>
      </c>
      <c r="AK79" s="6">
        <v>1291561</v>
      </c>
      <c r="AM79" s="6">
        <f t="shared" si="27"/>
        <v>183347</v>
      </c>
      <c r="AN79" s="6">
        <f t="shared" si="28"/>
        <v>-364527</v>
      </c>
      <c r="AO79" s="9">
        <f t="shared" si="29"/>
        <v>20395</v>
      </c>
      <c r="AP79" s="6">
        <f t="shared" si="30"/>
        <v>-192291</v>
      </c>
      <c r="AQ79" s="9">
        <f t="shared" si="31"/>
        <v>-219138</v>
      </c>
      <c r="AR79" s="6">
        <f t="shared" si="32"/>
        <v>1350844</v>
      </c>
      <c r="AS79" s="9">
        <f t="shared" si="33"/>
        <v>-2484482</v>
      </c>
      <c r="AT79" s="9">
        <f t="shared" si="34"/>
        <v>79802</v>
      </c>
      <c r="AU79" s="6">
        <f t="shared" si="35"/>
        <v>-5985</v>
      </c>
    </row>
    <row r="80" spans="1:47" x14ac:dyDescent="0.25">
      <c r="A80" t="s">
        <v>112</v>
      </c>
      <c r="B80">
        <v>11310</v>
      </c>
      <c r="C80" s="6">
        <f>VLOOKUP(B80,'ER Contributions'!A:D,4,FALSE)</f>
        <v>659385</v>
      </c>
      <c r="D80" s="7">
        <f>VLOOKUP(B80,'ER Contributions'!A:D,3,FALSE)</f>
        <v>5.1469999999999999E-4</v>
      </c>
      <c r="E80" s="9">
        <f>VLOOKUP(B80,'75 - Summary Exhibit'!A:N,3,FALSE)</f>
        <v>12221975</v>
      </c>
      <c r="F80" s="9">
        <f>VLOOKUP(B80,'75 - Summary Exhibit'!A:N,4,FALSE)</f>
        <v>118659</v>
      </c>
      <c r="G80" s="9">
        <f>VLOOKUP(B80,'75 - Summary Exhibit'!A:N,5,FALSE)</f>
        <v>105837</v>
      </c>
      <c r="H80" s="9">
        <f>VLOOKUP(B80,'75 - Summary Exhibit'!A:N,6,FALSE)</f>
        <v>978528</v>
      </c>
      <c r="I80" s="6">
        <f>VLOOKUP(B80,'75 - Summary Exhibit'!A:N,7,FALSE)</f>
        <v>1437735</v>
      </c>
      <c r="J80" s="6">
        <f>VLOOKUP(B80,'75 - Summary Exhibit'!A:N,8,FALSE)</f>
        <v>33819</v>
      </c>
      <c r="K80" s="6">
        <f>VLOOKUP(B80,'75 - Summary Exhibit'!A:N,9,FALSE)</f>
        <v>0</v>
      </c>
      <c r="L80" s="6">
        <f>VLOOKUP(B80,'75 - Summary Exhibit'!A:N,10,FALSE)</f>
        <v>5562509</v>
      </c>
      <c r="M80" s="6">
        <f>VLOOKUP(B80,'75 - Summary Exhibit'!A:N,11,FALSE)</f>
        <v>0</v>
      </c>
      <c r="N80" s="6">
        <f>VLOOKUP(B80,'75 - Summary Exhibit'!A:N,12,FALSE)</f>
        <v>-1363041</v>
      </c>
      <c r="O80" s="6">
        <f>VLOOKUP(B80,'75 - Summary Exhibit'!A:N,13,FALSE)</f>
        <v>734234</v>
      </c>
      <c r="P80" s="6">
        <f t="shared" si="24"/>
        <v>-628807</v>
      </c>
      <c r="Q80" s="6">
        <f>VLOOKUP(B80,'75- Deferred Amortization'!A:G,3,FALSE)</f>
        <v>-976505</v>
      </c>
      <c r="R80" s="6">
        <f>VLOOKUP(B80,'75- Deferred Amortization'!A:G,4,FALSE)</f>
        <v>-668330</v>
      </c>
      <c r="S80" s="6">
        <f>VLOOKUP(B80,'75- Deferred Amortization'!A:G,5,FALSE)</f>
        <v>-869014</v>
      </c>
      <c r="T80" s="6">
        <f>VLOOKUP(B80,'75- Deferred Amortization'!A:G,6,FALSE)</f>
        <v>-441720</v>
      </c>
      <c r="U80" s="6">
        <f>VLOOKUP(B80,'75- Deferred Amortization'!A:G,7,FALSE)</f>
        <v>0</v>
      </c>
      <c r="V80" s="6">
        <f t="shared" si="25"/>
        <v>-3</v>
      </c>
      <c r="W80" s="6">
        <f t="shared" si="26"/>
        <v>0</v>
      </c>
      <c r="X80">
        <v>3</v>
      </c>
      <c r="Z80" s="226">
        <f>VLOOKUP(B80,'Noncap Contr Alloc'!A:C,3,FALSE)</f>
        <v>92906</v>
      </c>
      <c r="AC80" s="9">
        <v>15732318</v>
      </c>
      <c r="AD80" s="9">
        <v>92881</v>
      </c>
      <c r="AE80" s="9">
        <v>0</v>
      </c>
      <c r="AF80" s="9">
        <v>1286768</v>
      </c>
      <c r="AG80" s="6">
        <v>1918225</v>
      </c>
      <c r="AH80" s="6">
        <v>292852</v>
      </c>
      <c r="AI80" s="6">
        <v>8048</v>
      </c>
      <c r="AJ80" s="6">
        <v>3823295</v>
      </c>
      <c r="AK80" s="6">
        <v>0</v>
      </c>
      <c r="AM80" s="6">
        <f t="shared" si="27"/>
        <v>-480490</v>
      </c>
      <c r="AN80" s="6">
        <f t="shared" si="28"/>
        <v>0</v>
      </c>
      <c r="AO80" s="9">
        <f t="shared" si="29"/>
        <v>25778</v>
      </c>
      <c r="AP80" s="6">
        <f t="shared" si="30"/>
        <v>-259033</v>
      </c>
      <c r="AQ80" s="9">
        <f t="shared" si="31"/>
        <v>-308240</v>
      </c>
      <c r="AR80" s="6">
        <f t="shared" si="32"/>
        <v>1739214</v>
      </c>
      <c r="AS80" s="9">
        <f t="shared" si="33"/>
        <v>-3510343</v>
      </c>
      <c r="AT80" s="9">
        <f t="shared" si="34"/>
        <v>105837</v>
      </c>
      <c r="AU80" s="6">
        <f t="shared" si="35"/>
        <v>-8048</v>
      </c>
    </row>
    <row r="81" spans="1:47" x14ac:dyDescent="0.25">
      <c r="A81" s="138" t="s">
        <v>168</v>
      </c>
      <c r="B81" s="139">
        <v>14300.2</v>
      </c>
      <c r="C81" s="140">
        <f>VLOOKUP(B81,'ER Contributions'!A:D,4,FALSE)</f>
        <v>243020</v>
      </c>
      <c r="D81" s="142">
        <f>VLOOKUP(B81,'ER Contributions'!A:D,3,FALSE)</f>
        <v>1.7320000000000001E-4</v>
      </c>
      <c r="E81" s="141">
        <f>VLOOKUP(B81,'75 - Summary Exhibit'!A:N,3,FALSE)</f>
        <v>4111912</v>
      </c>
      <c r="F81" s="141">
        <f>VLOOKUP(B81,'75 - Summary Exhibit'!A:N,4,FALSE)</f>
        <v>39921</v>
      </c>
      <c r="G81" s="141">
        <f>VLOOKUP(B81,'75 - Summary Exhibit'!A:N,5,FALSE)</f>
        <v>35607</v>
      </c>
      <c r="H81" s="141">
        <f>VLOOKUP(B81,'75 - Summary Exhibit'!A:N,6,FALSE)</f>
        <v>329212</v>
      </c>
      <c r="I81" s="140">
        <f>VLOOKUP(B81,'75 - Summary Exhibit'!A:N,7,FALSE)</f>
        <v>1107650</v>
      </c>
      <c r="J81" s="140">
        <f>VLOOKUP(B81,'75 - Summary Exhibit'!A:N,8,FALSE)</f>
        <v>11378</v>
      </c>
      <c r="K81" s="140">
        <f>VLOOKUP(B81,'75 - Summary Exhibit'!A:N,9,FALSE)</f>
        <v>0</v>
      </c>
      <c r="L81" s="140">
        <f>VLOOKUP(B81,'75 - Summary Exhibit'!A:N,10,FALSE)</f>
        <v>1871428</v>
      </c>
      <c r="M81" s="140">
        <f>VLOOKUP(B81,'75 - Summary Exhibit'!A:N,11,FALSE)</f>
        <v>798657</v>
      </c>
      <c r="N81" s="140">
        <f>VLOOKUP(B81,'75 - Summary Exhibit'!A:N,12,FALSE)</f>
        <v>-458576</v>
      </c>
      <c r="O81" s="140">
        <f>VLOOKUP(B81,'75 - Summary Exhibit'!A:N,13,FALSE)</f>
        <v>337162</v>
      </c>
      <c r="P81" s="140">
        <f>N81+O81</f>
        <v>-121414</v>
      </c>
      <c r="Q81" s="140">
        <f>VLOOKUP(B81,'75- Deferred Amortization'!A:G,3,FALSE)</f>
        <v>-485115</v>
      </c>
      <c r="R81" s="140">
        <f>VLOOKUP(B81,'75- Deferred Amortization'!A:G,4,FALSE)</f>
        <v>-114677</v>
      </c>
      <c r="S81" s="140">
        <f>VLOOKUP(B81,'75- Deferred Amortization'!A:G,5,FALSE)</f>
        <v>-187831</v>
      </c>
      <c r="T81" s="140">
        <f>VLOOKUP(B81,'75- Deferred Amortization'!A:G,6,FALSE)</f>
        <v>-381450</v>
      </c>
      <c r="U81" s="140">
        <f>VLOOKUP(B81,'75- Deferred Amortization'!A:G,7,FALSE)</f>
        <v>0</v>
      </c>
      <c r="V81" s="140">
        <f t="shared" si="25"/>
        <v>-8</v>
      </c>
      <c r="W81" s="140">
        <f t="shared" si="26"/>
        <v>0</v>
      </c>
      <c r="X81" s="139">
        <v>3</v>
      </c>
      <c r="Y81" s="139"/>
      <c r="Z81" s="226">
        <f>VLOOKUP(B81,'Noncap Contr Alloc'!A:C,3,FALSE)</f>
        <v>31264</v>
      </c>
      <c r="AA81" s="139"/>
      <c r="AB81" s="139"/>
      <c r="AC81" s="141">
        <v>5760475</v>
      </c>
      <c r="AD81" s="141">
        <v>34009</v>
      </c>
      <c r="AE81" s="141">
        <v>0</v>
      </c>
      <c r="AF81" s="141">
        <v>471157</v>
      </c>
      <c r="AG81" s="140">
        <v>1788199</v>
      </c>
      <c r="AH81" s="140">
        <v>107229</v>
      </c>
      <c r="AI81" s="140">
        <v>2947</v>
      </c>
      <c r="AJ81" s="140">
        <v>1399921</v>
      </c>
      <c r="AK81" s="140">
        <v>699468</v>
      </c>
      <c r="AL81" s="139"/>
      <c r="AM81" s="140">
        <f t="shared" si="27"/>
        <v>-680549</v>
      </c>
      <c r="AN81" s="140">
        <f t="shared" si="28"/>
        <v>99189</v>
      </c>
      <c r="AO81" s="141">
        <f t="shared" si="29"/>
        <v>5912</v>
      </c>
      <c r="AP81" s="140">
        <f t="shared" si="30"/>
        <v>-95851</v>
      </c>
      <c r="AQ81" s="141">
        <f t="shared" si="31"/>
        <v>-141945</v>
      </c>
      <c r="AR81" s="140">
        <f t="shared" si="32"/>
        <v>471507</v>
      </c>
      <c r="AS81" s="141">
        <f t="shared" si="33"/>
        <v>-1648563</v>
      </c>
      <c r="AT81" s="9">
        <f t="shared" si="34"/>
        <v>35607</v>
      </c>
      <c r="AU81" s="6">
        <f t="shared" si="35"/>
        <v>-2947</v>
      </c>
    </row>
    <row r="82" spans="1:47" x14ac:dyDescent="0.25">
      <c r="A82" s="138" t="s">
        <v>431</v>
      </c>
      <c r="B82" s="139">
        <v>21525</v>
      </c>
      <c r="C82" s="140">
        <f>VLOOKUP(B82,'ER Contributions'!A:D,4,FALSE)</f>
        <v>2177276</v>
      </c>
      <c r="D82" s="142">
        <f>VLOOKUP(B82,'ER Contributions'!A:D,3,FALSE)</f>
        <v>1.8894999999999999E-3</v>
      </c>
      <c r="E82" s="141">
        <f>VLOOKUP(B82,'75 - Summary Exhibit'!A:N,3,FALSE)</f>
        <v>44870265</v>
      </c>
      <c r="F82" s="141">
        <f>VLOOKUP(B82,'75 - Summary Exhibit'!A:N,4,FALSE)</f>
        <v>435631</v>
      </c>
      <c r="G82" s="141">
        <f>VLOOKUP(B82,'75 - Summary Exhibit'!A:N,5,FALSE)</f>
        <v>388557</v>
      </c>
      <c r="H82" s="141">
        <f>VLOOKUP(B82,'75 - Summary Exhibit'!A:N,6,FALSE)</f>
        <v>3592448</v>
      </c>
      <c r="I82" s="140">
        <f>VLOOKUP(B82,'75 - Summary Exhibit'!A:N,7,FALSE)</f>
        <v>7310537</v>
      </c>
      <c r="J82" s="140">
        <f>VLOOKUP(B82,'75 - Summary Exhibit'!A:N,8,FALSE)</f>
        <v>124161</v>
      </c>
      <c r="K82" s="140">
        <f>VLOOKUP(B82,'75 - Summary Exhibit'!A:N,9,FALSE)</f>
        <v>0</v>
      </c>
      <c r="L82" s="140">
        <f>VLOOKUP(B82,'75 - Summary Exhibit'!A:N,10,FALSE)</f>
        <v>20421514</v>
      </c>
      <c r="M82" s="140">
        <f>VLOOKUP(B82,'75 - Summary Exhibit'!A:N,11,FALSE)</f>
        <v>670292</v>
      </c>
      <c r="N82" s="140">
        <f>VLOOKUP(B82,'75 - Summary Exhibit'!A:N,12,FALSE)</f>
        <v>-5004096</v>
      </c>
      <c r="O82" s="140">
        <f>VLOOKUP(B82,'75 - Summary Exhibit'!A:N,13,FALSE)</f>
        <v>707852</v>
      </c>
      <c r="P82" s="140">
        <f>N82+O82</f>
        <v>-4296244</v>
      </c>
      <c r="Q82" s="140">
        <f>VLOOKUP(B82,'75- Deferred Amortization'!A:G,3,FALSE)</f>
        <v>-4349919</v>
      </c>
      <c r="R82" s="140">
        <f>VLOOKUP(B82,'75- Deferred Amortization'!A:G,4,FALSE)</f>
        <v>-1728407</v>
      </c>
      <c r="S82" s="140">
        <f>VLOOKUP(B82,'75- Deferred Amortization'!A:G,5,FALSE)</f>
        <v>-2421482</v>
      </c>
      <c r="T82" s="140">
        <f>VLOOKUP(B82,'75- Deferred Amortization'!A:G,6,FALSE)</f>
        <v>-988985</v>
      </c>
      <c r="U82" s="140">
        <f>VLOOKUP(B82,'75- Deferred Amortization'!A:G,7,FALSE)</f>
        <v>0</v>
      </c>
      <c r="V82" s="215">
        <f t="shared" si="25"/>
        <v>7</v>
      </c>
      <c r="W82" s="140">
        <f t="shared" si="26"/>
        <v>-1</v>
      </c>
      <c r="X82" s="141">
        <v>1</v>
      </c>
      <c r="Y82" s="162"/>
      <c r="Z82" s="226">
        <f>VLOOKUP(B82,'Noncap Contr Alloc'!A:C,3,FALSE)</f>
        <v>341066</v>
      </c>
      <c r="AA82" s="139"/>
      <c r="AB82" s="139"/>
      <c r="AC82" s="141">
        <v>56506304</v>
      </c>
      <c r="AD82" s="141">
        <v>333605</v>
      </c>
      <c r="AE82" s="141">
        <v>0</v>
      </c>
      <c r="AF82" s="141">
        <v>4621729</v>
      </c>
      <c r="AG82" s="140">
        <v>7133095</v>
      </c>
      <c r="AH82" s="140">
        <v>1051845</v>
      </c>
      <c r="AI82" s="140">
        <v>28905</v>
      </c>
      <c r="AJ82" s="140">
        <v>13732260</v>
      </c>
      <c r="AK82" s="140">
        <v>1942767</v>
      </c>
      <c r="AL82" s="139"/>
      <c r="AM82" s="140">
        <f t="shared" si="27"/>
        <v>177442</v>
      </c>
      <c r="AN82" s="140">
        <f t="shared" si="28"/>
        <v>-1272475</v>
      </c>
      <c r="AO82" s="141">
        <f t="shared" si="29"/>
        <v>102026</v>
      </c>
      <c r="AP82" s="140">
        <f t="shared" si="30"/>
        <v>-927684</v>
      </c>
      <c r="AQ82" s="141">
        <f t="shared" si="31"/>
        <v>-1029281</v>
      </c>
      <c r="AR82" s="140">
        <f t="shared" si="32"/>
        <v>6689254</v>
      </c>
      <c r="AS82" s="141">
        <f t="shared" si="33"/>
        <v>-11636039</v>
      </c>
      <c r="AT82" s="9">
        <f t="shared" si="34"/>
        <v>388557</v>
      </c>
      <c r="AU82" s="6">
        <f t="shared" si="35"/>
        <v>-28905</v>
      </c>
    </row>
    <row r="83" spans="1:47" x14ac:dyDescent="0.25">
      <c r="A83" s="138" t="s">
        <v>162</v>
      </c>
      <c r="B83" s="139">
        <v>21525.200000000001</v>
      </c>
      <c r="C83" s="140">
        <f>VLOOKUP(B83,'ER Contributions'!A:D,4,FALSE)</f>
        <v>241652</v>
      </c>
      <c r="D83" s="142">
        <f>VLOOKUP(B83,'ER Contributions'!A:D,3,FALSE)</f>
        <v>1.852E-4</v>
      </c>
      <c r="E83" s="141">
        <f>VLOOKUP(B83,'75 - Summary Exhibit'!A:N,3,FALSE)</f>
        <v>4397689</v>
      </c>
      <c r="F83" s="141">
        <f>VLOOKUP(B83,'75 - Summary Exhibit'!A:N,4,FALSE)</f>
        <v>42696</v>
      </c>
      <c r="G83" s="141">
        <f>VLOOKUP(B83,'75 - Summary Exhibit'!A:N,5,FALSE)</f>
        <v>38082</v>
      </c>
      <c r="H83" s="141">
        <f>VLOOKUP(B83,'75 - Summary Exhibit'!A:N,6,FALSE)</f>
        <v>352092</v>
      </c>
      <c r="I83" s="140">
        <f>VLOOKUP(B83,'75 - Summary Exhibit'!A:N,7,FALSE)</f>
        <v>1718658</v>
      </c>
      <c r="J83" s="140">
        <f>VLOOKUP(B83,'75 - Summary Exhibit'!A:N,8,FALSE)</f>
        <v>12169</v>
      </c>
      <c r="K83" s="140">
        <f>VLOOKUP(B83,'75 - Summary Exhibit'!A:N,9,FALSE)</f>
        <v>0</v>
      </c>
      <c r="L83" s="140">
        <f>VLOOKUP(B83,'75 - Summary Exhibit'!A:N,10,FALSE)</f>
        <v>2001492</v>
      </c>
      <c r="M83" s="140">
        <f>VLOOKUP(B83,'75 - Summary Exhibit'!A:N,11,FALSE)</f>
        <v>44350</v>
      </c>
      <c r="N83" s="140">
        <f>VLOOKUP(B83,'75 - Summary Exhibit'!A:N,12,FALSE)</f>
        <v>-490448</v>
      </c>
      <c r="O83" s="140">
        <f>VLOOKUP(B83,'75 - Summary Exhibit'!A:N,13,FALSE)</f>
        <v>810999</v>
      </c>
      <c r="P83" s="140">
        <f>N83+O83</f>
        <v>320551</v>
      </c>
      <c r="Q83" s="140">
        <f>VLOOKUP(B83,'75- Deferred Amortization'!A:G,3,FALSE)</f>
        <v>99356</v>
      </c>
      <c r="R83" s="140">
        <f>VLOOKUP(B83,'75- Deferred Amortization'!A:G,4,FALSE)</f>
        <v>7324</v>
      </c>
      <c r="S83" s="140">
        <f>VLOOKUP(B83,'75- Deferred Amortization'!A:G,5,FALSE)</f>
        <v>-23930</v>
      </c>
      <c r="T83" s="140">
        <f>VLOOKUP(B83,'75- Deferred Amortization'!A:G,6,FALSE)</f>
        <v>10768</v>
      </c>
      <c r="U83" s="140">
        <f>VLOOKUP(B83,'75- Deferred Amortization'!A:G,7,FALSE)</f>
        <v>0</v>
      </c>
      <c r="V83" s="215">
        <f t="shared" si="25"/>
        <v>-5</v>
      </c>
      <c r="W83" s="140">
        <f t="shared" si="26"/>
        <v>-1</v>
      </c>
      <c r="X83" s="139">
        <v>3</v>
      </c>
      <c r="Y83" s="162"/>
      <c r="Z83" s="226">
        <f>VLOOKUP(B83,'Noncap Contr Alloc'!A:C,3,FALSE)</f>
        <v>33430</v>
      </c>
      <c r="AA83" s="139"/>
      <c r="AB83" s="139"/>
      <c r="AC83" s="141">
        <v>4919144</v>
      </c>
      <c r="AD83" s="141">
        <v>29042</v>
      </c>
      <c r="AE83" s="141">
        <v>0</v>
      </c>
      <c r="AF83" s="141">
        <v>402344</v>
      </c>
      <c r="AG83" s="140">
        <v>1585128</v>
      </c>
      <c r="AH83" s="140">
        <v>91568</v>
      </c>
      <c r="AI83" s="140">
        <v>2516</v>
      </c>
      <c r="AJ83" s="140">
        <v>1195459</v>
      </c>
      <c r="AK83" s="140">
        <v>66525</v>
      </c>
      <c r="AL83" s="139"/>
      <c r="AM83" s="140">
        <f t="shared" si="27"/>
        <v>133530</v>
      </c>
      <c r="AN83" s="140">
        <f t="shared" si="28"/>
        <v>-22175</v>
      </c>
      <c r="AO83" s="141">
        <f t="shared" si="29"/>
        <v>13654</v>
      </c>
      <c r="AP83" s="140">
        <f t="shared" si="30"/>
        <v>-79399</v>
      </c>
      <c r="AQ83" s="141">
        <f t="shared" si="31"/>
        <v>-50252</v>
      </c>
      <c r="AR83" s="140">
        <f t="shared" si="32"/>
        <v>806033</v>
      </c>
      <c r="AS83" s="141">
        <f t="shared" si="33"/>
        <v>-521455</v>
      </c>
      <c r="AT83" s="9">
        <f t="shared" si="34"/>
        <v>38082</v>
      </c>
      <c r="AU83" s="6">
        <f t="shared" si="35"/>
        <v>-2516</v>
      </c>
    </row>
    <row r="84" spans="1:47" x14ac:dyDescent="0.25">
      <c r="A84" s="138" t="s">
        <v>170</v>
      </c>
      <c r="B84" s="139">
        <v>51000.2</v>
      </c>
      <c r="C84" s="140">
        <f>VLOOKUP(B84,'ER Contributions'!A:D,4,FALSE)</f>
        <v>54285</v>
      </c>
      <c r="D84" s="142">
        <f>VLOOKUP(B84,'ER Contributions'!A:D,3,FALSE)</f>
        <v>3.79E-5</v>
      </c>
      <c r="E84" s="141">
        <f>VLOOKUP(B84,'75 - Summary Exhibit'!A:N,3,FALSE)</f>
        <v>898780</v>
      </c>
      <c r="F84" s="141">
        <f>VLOOKUP(B84,'75 - Summary Exhibit'!A:N,4,FALSE)</f>
        <v>8726</v>
      </c>
      <c r="G84" s="141">
        <f>VLOOKUP(B84,'75 - Summary Exhibit'!A:N,5,FALSE)</f>
        <v>7783</v>
      </c>
      <c r="H84" s="141">
        <f>VLOOKUP(B84,'75 - Summary Exhibit'!A:N,6,FALSE)</f>
        <v>71959</v>
      </c>
      <c r="I84" s="140">
        <f>VLOOKUP(B84,'75 - Summary Exhibit'!A:N,7,FALSE)</f>
        <v>721141</v>
      </c>
      <c r="J84" s="140">
        <f>VLOOKUP(B84,'75 - Summary Exhibit'!A:N,8,FALSE)</f>
        <v>2487</v>
      </c>
      <c r="K84" s="140">
        <f>VLOOKUP(B84,'75 - Summary Exhibit'!A:N,9,FALSE)</f>
        <v>0</v>
      </c>
      <c r="L84" s="140">
        <f>VLOOKUP(B84,'75 - Summary Exhibit'!A:N,10,FALSE)</f>
        <v>409056</v>
      </c>
      <c r="M84" s="140">
        <f>VLOOKUP(B84,'75 - Summary Exhibit'!A:N,11,FALSE)</f>
        <v>129861</v>
      </c>
      <c r="N84" s="140">
        <f>VLOOKUP(B84,'75 - Summary Exhibit'!A:N,12,FALSE)</f>
        <v>-100236</v>
      </c>
      <c r="O84" s="140">
        <f>VLOOKUP(B84,'75 - Summary Exhibit'!A:N,13,FALSE)</f>
        <v>207479</v>
      </c>
      <c r="P84" s="140">
        <f>N84+O84</f>
        <v>107243</v>
      </c>
      <c r="Q84" s="140">
        <f>VLOOKUP(B84,'75- Deferred Amortization'!A:G,3,FALSE)</f>
        <v>86964</v>
      </c>
      <c r="R84" s="140">
        <f>VLOOKUP(B84,'75- Deferred Amortization'!A:G,4,FALSE)</f>
        <v>83964</v>
      </c>
      <c r="S84" s="140">
        <f>VLOOKUP(B84,'75- Deferred Amortization'!A:G,5,FALSE)</f>
        <v>9494</v>
      </c>
      <c r="T84" s="140">
        <f>VLOOKUP(B84,'75- Deferred Amortization'!A:G,6,FALSE)</f>
        <v>87783</v>
      </c>
      <c r="U84" s="140">
        <f>VLOOKUP(B84,'75- Deferred Amortization'!A:G,7,FALSE)</f>
        <v>0</v>
      </c>
      <c r="V84" s="140">
        <f t="shared" si="25"/>
        <v>-10</v>
      </c>
      <c r="W84" s="140">
        <f t="shared" si="26"/>
        <v>0</v>
      </c>
      <c r="X84" s="139">
        <v>3</v>
      </c>
      <c r="Y84" s="139"/>
      <c r="Z84" s="226">
        <f>VLOOKUP(B84,'Noncap Contr Alloc'!A:C,3,FALSE)</f>
        <v>6841</v>
      </c>
      <c r="AA84" s="139"/>
      <c r="AB84" s="139"/>
      <c r="AC84" s="141">
        <v>719134</v>
      </c>
      <c r="AD84" s="141">
        <v>4246</v>
      </c>
      <c r="AE84" s="141">
        <v>0</v>
      </c>
      <c r="AF84" s="141">
        <v>58819</v>
      </c>
      <c r="AG84" s="140">
        <v>433288</v>
      </c>
      <c r="AH84" s="140">
        <v>13386</v>
      </c>
      <c r="AI84" s="140">
        <v>368</v>
      </c>
      <c r="AJ84" s="140">
        <v>174765</v>
      </c>
      <c r="AK84" s="140">
        <v>173148</v>
      </c>
      <c r="AL84" s="139"/>
      <c r="AM84" s="140">
        <f t="shared" si="27"/>
        <v>287853</v>
      </c>
      <c r="AN84" s="140">
        <f t="shared" si="28"/>
        <v>-43287</v>
      </c>
      <c r="AO84" s="141">
        <f t="shared" si="29"/>
        <v>4480</v>
      </c>
      <c r="AP84" s="140">
        <f t="shared" si="30"/>
        <v>-10899</v>
      </c>
      <c r="AQ84" s="141">
        <f t="shared" si="31"/>
        <v>13140</v>
      </c>
      <c r="AR84" s="140">
        <f t="shared" si="32"/>
        <v>234291</v>
      </c>
      <c r="AS84" s="141">
        <f t="shared" si="33"/>
        <v>179646</v>
      </c>
      <c r="AT84" s="9">
        <f t="shared" si="34"/>
        <v>7783</v>
      </c>
      <c r="AU84" s="6">
        <f t="shared" si="35"/>
        <v>-368</v>
      </c>
    </row>
    <row r="85" spans="1:47" x14ac:dyDescent="0.25">
      <c r="A85" s="138" t="s">
        <v>169</v>
      </c>
      <c r="B85" s="139">
        <v>51000.3</v>
      </c>
      <c r="C85" s="140">
        <f>VLOOKUP(B85,'ER Contributions'!A:D,4,FALSE)</f>
        <v>1022489</v>
      </c>
      <c r="D85" s="142">
        <f>VLOOKUP(B85,'ER Contributions'!A:D,3,FALSE)</f>
        <v>7.7809999999999999E-4</v>
      </c>
      <c r="E85" s="141">
        <f>VLOOKUP(B85,'75 - Summary Exhibit'!A:N,3,FALSE)</f>
        <v>18476737</v>
      </c>
      <c r="F85" s="141">
        <f>VLOOKUP(B85,'75 - Summary Exhibit'!A:N,4,FALSE)</f>
        <v>179385</v>
      </c>
      <c r="G85" s="141">
        <f>VLOOKUP(B85,'75 - Summary Exhibit'!A:N,5,FALSE)</f>
        <v>160001</v>
      </c>
      <c r="H85" s="141">
        <f>VLOOKUP(B85,'75 - Summary Exhibit'!A:N,6,FALSE)</f>
        <v>1479303</v>
      </c>
      <c r="I85" s="140">
        <f>VLOOKUP(B85,'75 - Summary Exhibit'!A:N,7,FALSE)</f>
        <v>3487425</v>
      </c>
      <c r="J85" s="140">
        <f>VLOOKUP(B85,'75 - Summary Exhibit'!A:N,8,FALSE)</f>
        <v>51127</v>
      </c>
      <c r="K85" s="140">
        <f>VLOOKUP(B85,'75 - Summary Exhibit'!A:N,9,FALSE)</f>
        <v>0</v>
      </c>
      <c r="L85" s="140">
        <f>VLOOKUP(B85,'75 - Summary Exhibit'!A:N,10,FALSE)</f>
        <v>8409198</v>
      </c>
      <c r="M85" s="140">
        <f>VLOOKUP(B85,'75 - Summary Exhibit'!A:N,11,FALSE)</f>
        <v>0</v>
      </c>
      <c r="N85" s="140">
        <f>VLOOKUP(B85,'75 - Summary Exhibit'!A:N,12,FALSE)</f>
        <v>-2060593</v>
      </c>
      <c r="O85" s="140">
        <f>VLOOKUP(B85,'75 - Summary Exhibit'!A:N,13,FALSE)</f>
        <v>1330623</v>
      </c>
      <c r="P85" s="140">
        <f>N85+O85</f>
        <v>-729970</v>
      </c>
      <c r="Q85" s="140">
        <f>VLOOKUP(B85,'75- Deferred Amortization'!A:G,3,FALSE)</f>
        <v>-1080900</v>
      </c>
      <c r="R85" s="140">
        <f>VLOOKUP(B85,'75- Deferred Amortization'!A:G,4,FALSE)</f>
        <v>-567043</v>
      </c>
      <c r="S85" s="140">
        <f>VLOOKUP(B85,'75- Deferred Amortization'!A:G,5,FALSE)</f>
        <v>-900554</v>
      </c>
      <c r="T85" s="140">
        <f>VLOOKUP(B85,'75- Deferred Amortization'!A:G,6,FALSE)</f>
        <v>-605715</v>
      </c>
      <c r="U85" s="140">
        <f>VLOOKUP(B85,'75- Deferred Amortization'!A:G,7,FALSE)</f>
        <v>0</v>
      </c>
      <c r="V85" s="140">
        <f t="shared" si="25"/>
        <v>-4</v>
      </c>
      <c r="W85" s="140">
        <f t="shared" si="26"/>
        <v>1</v>
      </c>
      <c r="X85" s="139">
        <v>3</v>
      </c>
      <c r="Y85" s="139"/>
      <c r="Z85" s="226">
        <f>VLOOKUP(B85,'Noncap Contr Alloc'!A:C,3,FALSE)</f>
        <v>140452</v>
      </c>
      <c r="AA85" s="139"/>
      <c r="AB85" s="139"/>
      <c r="AC85" s="141">
        <v>22409715</v>
      </c>
      <c r="AD85" s="141">
        <v>132304</v>
      </c>
      <c r="AE85" s="141">
        <v>0</v>
      </c>
      <c r="AF85" s="141">
        <v>1832922</v>
      </c>
      <c r="AG85" s="140">
        <v>2795294</v>
      </c>
      <c r="AH85" s="140">
        <v>417149</v>
      </c>
      <c r="AI85" s="140">
        <v>11463</v>
      </c>
      <c r="AJ85" s="140">
        <v>5446048</v>
      </c>
      <c r="AK85" s="140">
        <v>0</v>
      </c>
      <c r="AL85" s="139"/>
      <c r="AM85" s="140">
        <f t="shared" si="27"/>
        <v>692131</v>
      </c>
      <c r="AN85" s="140">
        <f t="shared" si="28"/>
        <v>0</v>
      </c>
      <c r="AO85" s="141">
        <f t="shared" si="29"/>
        <v>47081</v>
      </c>
      <c r="AP85" s="140">
        <f t="shared" si="30"/>
        <v>-366022</v>
      </c>
      <c r="AQ85" s="141">
        <f t="shared" si="31"/>
        <v>-353619</v>
      </c>
      <c r="AR85" s="140">
        <f t="shared" si="32"/>
        <v>2963150</v>
      </c>
      <c r="AS85" s="141">
        <f t="shared" si="33"/>
        <v>-3932978</v>
      </c>
      <c r="AT85" s="9">
        <f t="shared" si="34"/>
        <v>160001</v>
      </c>
      <c r="AU85" s="6">
        <f t="shared" si="35"/>
        <v>-11463</v>
      </c>
    </row>
    <row r="86" spans="1:47" x14ac:dyDescent="0.25">
      <c r="A86" s="143" t="s">
        <v>159</v>
      </c>
      <c r="B86" s="143">
        <v>99000</v>
      </c>
      <c r="C86" s="144">
        <f>SUMIF($X$4:$X$85,1,C$4:C$85)</f>
        <v>295849911</v>
      </c>
      <c r="D86" s="144"/>
      <c r="E86" s="144">
        <f t="shared" ref="E86:M86" si="36">SUMIF($X$4:$X$85,1,E$4:E$85)</f>
        <v>6010508867</v>
      </c>
      <c r="F86" s="144">
        <f t="shared" si="36"/>
        <v>58354093</v>
      </c>
      <c r="G86" s="144">
        <f t="shared" si="36"/>
        <v>52048406</v>
      </c>
      <c r="H86" s="144">
        <f t="shared" si="36"/>
        <v>481219329</v>
      </c>
      <c r="I86" s="144">
        <f t="shared" si="36"/>
        <v>404507385</v>
      </c>
      <c r="J86" s="144">
        <f t="shared" si="36"/>
        <v>16631696</v>
      </c>
      <c r="K86" s="144">
        <f t="shared" si="36"/>
        <v>0</v>
      </c>
      <c r="L86" s="144">
        <f t="shared" si="36"/>
        <v>2735524113</v>
      </c>
      <c r="M86" s="144">
        <f t="shared" si="36"/>
        <v>176921573</v>
      </c>
      <c r="N86" s="144">
        <f t="shared" ref="N86:U86" si="37">SUMIF($X$4:$X$85,1,N$4:N$85)</f>
        <v>-670314038</v>
      </c>
      <c r="O86" s="144">
        <f t="shared" si="37"/>
        <v>-18559966</v>
      </c>
      <c r="P86" s="144">
        <f t="shared" si="37"/>
        <v>-688874004</v>
      </c>
      <c r="Q86" s="144">
        <f t="shared" si="37"/>
        <v>-599419788</v>
      </c>
      <c r="R86" s="144">
        <f t="shared" si="37"/>
        <v>-430685264</v>
      </c>
      <c r="S86" s="144">
        <f t="shared" si="37"/>
        <v>-561386824</v>
      </c>
      <c r="T86" s="144">
        <f t="shared" si="37"/>
        <v>-341456289</v>
      </c>
      <c r="U86" s="144">
        <f t="shared" si="37"/>
        <v>0</v>
      </c>
      <c r="V86" s="215">
        <f t="shared" si="25"/>
        <v>133</v>
      </c>
      <c r="W86" s="144">
        <f t="shared" si="26"/>
        <v>-4</v>
      </c>
      <c r="X86" s="143"/>
      <c r="Y86" s="143"/>
      <c r="Z86" s="226">
        <f>SUMIF($X$4:$X$85,1,Z$4:Z$85)</f>
        <v>45687421</v>
      </c>
      <c r="AA86" s="143"/>
      <c r="AB86" s="143"/>
      <c r="AC86" s="144">
        <v>7905262945</v>
      </c>
      <c r="AD86" s="144">
        <v>46671530</v>
      </c>
      <c r="AE86" s="144">
        <v>0</v>
      </c>
      <c r="AF86" s="144">
        <v>646582444</v>
      </c>
      <c r="AG86" s="144">
        <v>573118077</v>
      </c>
      <c r="AH86" s="144">
        <v>147153742</v>
      </c>
      <c r="AI86" s="144">
        <v>4043862</v>
      </c>
      <c r="AJ86" s="144">
        <v>1921150706</v>
      </c>
      <c r="AK86" s="144">
        <v>262629301</v>
      </c>
      <c r="AL86" s="144"/>
      <c r="AM86" s="144">
        <f>SUMIF($X$4:$X$85,1,AM$4:AM$85)</f>
        <v>-168610692</v>
      </c>
      <c r="AN86" s="144">
        <f>SUMIF($X$4:$X$85,1,AN$4:AN$85)</f>
        <v>-85707728</v>
      </c>
      <c r="AO86" s="163">
        <f t="shared" si="29"/>
        <v>11682563</v>
      </c>
      <c r="AP86" s="144">
        <f t="shared" si="30"/>
        <v>-130522046</v>
      </c>
      <c r="AQ86" s="163">
        <f t="shared" si="31"/>
        <v>-165363115</v>
      </c>
      <c r="AR86" s="144">
        <f t="shared" si="32"/>
        <v>814373407</v>
      </c>
      <c r="AS86" s="163">
        <f t="shared" si="33"/>
        <v>-1894754078</v>
      </c>
      <c r="AT86" s="9">
        <f t="shared" si="34"/>
        <v>52048406</v>
      </c>
      <c r="AU86" s="6">
        <f t="shared" si="35"/>
        <v>-4043862</v>
      </c>
    </row>
    <row r="87" spans="1:47" x14ac:dyDescent="0.25">
      <c r="A87" s="145" t="s">
        <v>160</v>
      </c>
      <c r="B87" s="143">
        <v>99100</v>
      </c>
      <c r="C87" s="144">
        <f>SUMIF($X$4:$X$85,2,C$4:C$85)</f>
        <v>59785517</v>
      </c>
      <c r="D87" s="144"/>
      <c r="E87" s="144">
        <f t="shared" ref="E87:U87" si="38">SUMIF($X$4:$X$85,2,E$4:E$85)</f>
        <v>1130722053</v>
      </c>
      <c r="F87" s="144">
        <f t="shared" si="38"/>
        <v>10977814</v>
      </c>
      <c r="G87" s="144">
        <f t="shared" si="38"/>
        <v>9791558</v>
      </c>
      <c r="H87" s="144">
        <f t="shared" si="38"/>
        <v>90528994</v>
      </c>
      <c r="I87" s="144">
        <f t="shared" si="38"/>
        <v>66269478</v>
      </c>
      <c r="J87" s="144">
        <f t="shared" si="38"/>
        <v>3128825</v>
      </c>
      <c r="K87" s="144">
        <f t="shared" si="38"/>
        <v>0</v>
      </c>
      <c r="L87" s="144">
        <f t="shared" si="38"/>
        <v>514618230</v>
      </c>
      <c r="M87" s="144">
        <f t="shared" si="38"/>
        <v>91967156</v>
      </c>
      <c r="N87" s="144">
        <f t="shared" si="38"/>
        <v>-126102289</v>
      </c>
      <c r="O87" s="144">
        <f t="shared" si="38"/>
        <v>-24737574</v>
      </c>
      <c r="P87" s="144">
        <f t="shared" si="38"/>
        <v>-150839863</v>
      </c>
      <c r="Q87" s="144">
        <f t="shared" si="38"/>
        <v>-152038221</v>
      </c>
      <c r="R87" s="144">
        <f t="shared" si="38"/>
        <v>-109538579</v>
      </c>
      <c r="S87" s="144">
        <f t="shared" si="38"/>
        <v>-112265802</v>
      </c>
      <c r="T87" s="144">
        <f t="shared" si="38"/>
        <v>-58303754</v>
      </c>
      <c r="U87" s="144">
        <f t="shared" si="38"/>
        <v>0</v>
      </c>
      <c r="V87" s="144">
        <f t="shared" si="25"/>
        <v>-26</v>
      </c>
      <c r="W87" s="144">
        <f t="shared" si="26"/>
        <v>-11</v>
      </c>
      <c r="X87" s="143"/>
      <c r="Y87" s="143"/>
      <c r="Z87" s="226">
        <f>SUMIF($X$4:$X$85,2,Z$4:Z$85)</f>
        <v>8594954</v>
      </c>
      <c r="AA87" s="143"/>
      <c r="AB87" s="143"/>
      <c r="AC87" s="144">
        <v>1475791463</v>
      </c>
      <c r="AD87" s="144">
        <v>8712859</v>
      </c>
      <c r="AE87" s="144">
        <v>0</v>
      </c>
      <c r="AF87" s="144">
        <v>120707037</v>
      </c>
      <c r="AG87" s="144">
        <v>67624361</v>
      </c>
      <c r="AH87" s="144">
        <v>27471349</v>
      </c>
      <c r="AI87" s="144">
        <v>754927</v>
      </c>
      <c r="AJ87" s="144">
        <v>358649398</v>
      </c>
      <c r="AK87" s="144">
        <v>116465848</v>
      </c>
      <c r="AL87" s="144"/>
      <c r="AM87" s="144">
        <f>SUMIF($X$4:$X$85,2,AM$4:AM$85)</f>
        <v>-1354883</v>
      </c>
      <c r="AN87" s="144">
        <f>SUMIF($X$4:$X$85,2,AN$4:AN$85)</f>
        <v>-24498692</v>
      </c>
      <c r="AO87" s="163">
        <f t="shared" si="29"/>
        <v>2264955</v>
      </c>
      <c r="AP87" s="144">
        <f t="shared" si="30"/>
        <v>-24342524</v>
      </c>
      <c r="AQ87" s="163">
        <f t="shared" si="31"/>
        <v>-30178043</v>
      </c>
      <c r="AR87" s="144">
        <f t="shared" si="32"/>
        <v>155968832</v>
      </c>
      <c r="AS87" s="163">
        <f t="shared" si="33"/>
        <v>-345069410</v>
      </c>
      <c r="AT87" s="9">
        <f t="shared" si="34"/>
        <v>9791558</v>
      </c>
      <c r="AU87" s="6">
        <f t="shared" si="35"/>
        <v>-754927</v>
      </c>
    </row>
    <row r="88" spans="1:47" x14ac:dyDescent="0.25">
      <c r="A88" s="145" t="s">
        <v>161</v>
      </c>
      <c r="B88" s="143">
        <v>99200</v>
      </c>
      <c r="C88" s="144">
        <f>SUMIF($X$4:$X$85,3,C$4:C$85)</f>
        <v>2220831</v>
      </c>
      <c r="D88" s="144"/>
      <c r="E88" s="144">
        <f t="shared" ref="E88:U88" si="39">SUMIF($X$4:$X$85,3,E$4:E$85)</f>
        <v>40107093</v>
      </c>
      <c r="F88" s="144">
        <f t="shared" si="39"/>
        <v>389387</v>
      </c>
      <c r="G88" s="144">
        <f t="shared" si="39"/>
        <v>347310</v>
      </c>
      <c r="H88" s="144">
        <f t="shared" si="39"/>
        <v>3211094</v>
      </c>
      <c r="I88" s="144">
        <f t="shared" si="39"/>
        <v>8472609</v>
      </c>
      <c r="J88" s="144">
        <f t="shared" si="39"/>
        <v>110980</v>
      </c>
      <c r="K88" s="144">
        <f t="shared" si="39"/>
        <v>0</v>
      </c>
      <c r="L88" s="144">
        <f t="shared" si="39"/>
        <v>18253683</v>
      </c>
      <c r="M88" s="144">
        <f t="shared" si="39"/>
        <v>972868</v>
      </c>
      <c r="N88" s="144">
        <f t="shared" si="39"/>
        <v>-4472894</v>
      </c>
      <c r="O88" s="144">
        <f t="shared" si="39"/>
        <v>3420497</v>
      </c>
      <c r="P88" s="144">
        <f t="shared" si="39"/>
        <v>-1052397</v>
      </c>
      <c r="Q88" s="144">
        <f t="shared" si="39"/>
        <v>-2356200</v>
      </c>
      <c r="R88" s="144">
        <f t="shared" si="39"/>
        <v>-1258762</v>
      </c>
      <c r="S88" s="144">
        <f t="shared" si="39"/>
        <v>-1971835</v>
      </c>
      <c r="T88" s="144">
        <f t="shared" si="39"/>
        <v>-1330334</v>
      </c>
      <c r="U88" s="144">
        <f t="shared" si="39"/>
        <v>0</v>
      </c>
      <c r="V88" s="215">
        <f t="shared" si="25"/>
        <v>-30</v>
      </c>
      <c r="W88" s="144">
        <f t="shared" si="26"/>
        <v>0</v>
      </c>
      <c r="X88" s="143"/>
      <c r="Y88" s="143"/>
      <c r="Z88" s="226">
        <f>SUMIF($X$4:$X$85,3,Z$4:Z$85)</f>
        <v>304893</v>
      </c>
      <c r="AA88" s="143"/>
      <c r="AB88" s="143"/>
      <c r="AC88" s="144">
        <v>49540786</v>
      </c>
      <c r="AD88" s="144">
        <v>292482</v>
      </c>
      <c r="AE88" s="144">
        <v>0</v>
      </c>
      <c r="AF88" s="144">
        <v>4052010</v>
      </c>
      <c r="AG88" s="144">
        <v>8520134</v>
      </c>
      <c r="AH88" s="144">
        <v>922184</v>
      </c>
      <c r="AI88" s="144">
        <v>25342</v>
      </c>
      <c r="AJ88" s="144">
        <v>12039488</v>
      </c>
      <c r="AK88" s="144">
        <v>939141</v>
      </c>
      <c r="AL88" s="144"/>
      <c r="AM88" s="144">
        <f>SUMIF($X$4:$X$85,3,AM$4:AM$85)</f>
        <v>-47525</v>
      </c>
      <c r="AN88" s="144">
        <f>SUMIF($X$4:$X$85,3,AN$4:AN$85)</f>
        <v>33727</v>
      </c>
      <c r="AO88" s="163">
        <f t="shared" si="29"/>
        <v>96905</v>
      </c>
      <c r="AP88" s="144">
        <f t="shared" si="30"/>
        <v>-811204</v>
      </c>
      <c r="AQ88" s="163">
        <f t="shared" si="31"/>
        <v>-840916</v>
      </c>
      <c r="AR88" s="144">
        <f t="shared" si="32"/>
        <v>6214195</v>
      </c>
      <c r="AS88" s="163">
        <f t="shared" si="33"/>
        <v>-9433693</v>
      </c>
      <c r="AT88" s="9">
        <f t="shared" si="34"/>
        <v>347310</v>
      </c>
      <c r="AU88" s="6">
        <f t="shared" si="35"/>
        <v>-25342</v>
      </c>
    </row>
    <row r="91" spans="1:47" x14ac:dyDescent="0.25">
      <c r="A91" s="2"/>
    </row>
    <row r="92" spans="1:47" ht="67.2" customHeight="1" x14ac:dyDescent="0.25">
      <c r="A92" s="289" t="s">
        <v>509</v>
      </c>
      <c r="B92" s="290"/>
      <c r="C92" s="290"/>
      <c r="D92" s="290"/>
      <c r="E92" s="290"/>
      <c r="F92" s="290"/>
      <c r="V92" s="296" t="s">
        <v>496</v>
      </c>
      <c r="W92" s="297"/>
    </row>
    <row r="93" spans="1:47" x14ac:dyDescent="0.25">
      <c r="A93" s="176"/>
      <c r="B93" s="176"/>
      <c r="C93" s="6"/>
      <c r="D93" s="7"/>
    </row>
    <row r="94" spans="1:47" x14ac:dyDescent="0.25">
      <c r="A94" s="176"/>
      <c r="B94" s="176"/>
      <c r="C94" s="6"/>
      <c r="D94" s="7"/>
    </row>
    <row r="95" spans="1:47" x14ac:dyDescent="0.25">
      <c r="A95" s="176"/>
      <c r="B95" s="176"/>
      <c r="C95" s="6"/>
      <c r="D95" s="7"/>
    </row>
    <row r="96" spans="1:47" x14ac:dyDescent="0.25">
      <c r="A96" s="176"/>
      <c r="B96" s="176"/>
    </row>
    <row r="97" spans="1:2" x14ac:dyDescent="0.25">
      <c r="A97" s="176"/>
      <c r="B97" s="176"/>
    </row>
    <row r="98" spans="1:2" x14ac:dyDescent="0.25">
      <c r="A98" s="176"/>
      <c r="B98" s="176"/>
    </row>
    <row r="99" spans="1:2" x14ac:dyDescent="0.25">
      <c r="A99" s="176"/>
      <c r="B99" s="176"/>
    </row>
    <row r="100" spans="1:2" x14ac:dyDescent="0.25">
      <c r="A100" s="176"/>
      <c r="B100" s="176"/>
    </row>
    <row r="101" spans="1:2" x14ac:dyDescent="0.25">
      <c r="A101" s="176"/>
      <c r="B101" s="176"/>
    </row>
    <row r="102" spans="1:2" x14ac:dyDescent="0.25">
      <c r="A102" s="176"/>
      <c r="B102" s="176"/>
    </row>
    <row r="103" spans="1:2" x14ac:dyDescent="0.25">
      <c r="A103" s="176"/>
      <c r="B103" s="176"/>
    </row>
  </sheetData>
  <sortState xmlns:xlrd2="http://schemas.microsoft.com/office/spreadsheetml/2017/richdata2" ref="A81:AN85">
    <sortCondition ref="B81:B85"/>
  </sortState>
  <mergeCells count="8">
    <mergeCell ref="A92:F92"/>
    <mergeCell ref="AH2:AK2"/>
    <mergeCell ref="J2:M2"/>
    <mergeCell ref="N2:P2"/>
    <mergeCell ref="F2:I2"/>
    <mergeCell ref="Q2:U2"/>
    <mergeCell ref="AD2:AG2"/>
    <mergeCell ref="V92:W92"/>
  </mergeCells>
  <pageMargins left="0.7" right="0.7"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18"/>
  <sheetViews>
    <sheetView workbookViewId="0"/>
  </sheetViews>
  <sheetFormatPr defaultRowHeight="13.2" x14ac:dyDescent="0.25"/>
  <cols>
    <col min="1" max="1" width="15" customWidth="1"/>
    <col min="2" max="2" width="57.77734375" customWidth="1"/>
    <col min="3" max="3" width="16.77734375" customWidth="1"/>
    <col min="4" max="4" width="18.44140625" style="6" customWidth="1"/>
    <col min="5" max="5" width="30.21875" customWidth="1"/>
    <col min="6" max="6" width="14.44140625" style="6" customWidth="1"/>
  </cols>
  <sheetData>
    <row r="1" spans="1:11" x14ac:dyDescent="0.25">
      <c r="A1" s="5">
        <v>1</v>
      </c>
      <c r="B1" s="5">
        <v>2</v>
      </c>
      <c r="C1" s="5">
        <v>3</v>
      </c>
      <c r="D1" s="179">
        <v>4</v>
      </c>
      <c r="F1" s="205" t="s">
        <v>889</v>
      </c>
      <c r="G1" s="143"/>
      <c r="H1" s="143"/>
      <c r="I1" s="143"/>
      <c r="J1" s="143"/>
      <c r="K1" s="143"/>
    </row>
    <row r="2" spans="1:11" ht="38.25" customHeight="1" x14ac:dyDescent="0.25">
      <c r="A2" s="185" t="s">
        <v>164</v>
      </c>
      <c r="B2" s="134" t="s">
        <v>166</v>
      </c>
      <c r="C2" s="48" t="s">
        <v>171</v>
      </c>
      <c r="D2" s="180" t="s">
        <v>35</v>
      </c>
      <c r="F2" s="206"/>
    </row>
    <row r="3" spans="1:11" ht="13.8" x14ac:dyDescent="0.25">
      <c r="A3">
        <v>10200</v>
      </c>
      <c r="B3" t="s">
        <v>249</v>
      </c>
      <c r="C3" s="256">
        <v>1.1249000000000001E-3</v>
      </c>
      <c r="D3" s="6">
        <v>1304350.58</v>
      </c>
      <c r="E3" s="210"/>
      <c r="F3" s="181"/>
    </row>
    <row r="4" spans="1:11" ht="13.8" x14ac:dyDescent="0.25">
      <c r="A4">
        <v>10400</v>
      </c>
      <c r="B4" t="s">
        <v>250</v>
      </c>
      <c r="C4" s="256">
        <v>2.9318999999999999E-3</v>
      </c>
      <c r="D4" s="6">
        <v>3382545</v>
      </c>
      <c r="E4" s="210"/>
      <c r="F4" s="181"/>
    </row>
    <row r="5" spans="1:11" ht="13.8" x14ac:dyDescent="0.25">
      <c r="A5">
        <v>10500</v>
      </c>
      <c r="B5" t="s">
        <v>529</v>
      </c>
      <c r="C5" s="256">
        <v>7.0279999999999995E-4</v>
      </c>
      <c r="D5" s="6">
        <v>796687.07</v>
      </c>
      <c r="E5" s="210"/>
      <c r="F5" s="181"/>
    </row>
    <row r="6" spans="1:11" ht="13.8" x14ac:dyDescent="0.25">
      <c r="A6">
        <v>10700</v>
      </c>
      <c r="B6" t="s">
        <v>251</v>
      </c>
      <c r="C6" s="256">
        <v>4.4542999999999996E-3</v>
      </c>
      <c r="D6" s="6">
        <v>5383919</v>
      </c>
      <c r="E6" s="210"/>
      <c r="F6" s="181"/>
    </row>
    <row r="7" spans="1:11" ht="13.8" x14ac:dyDescent="0.25">
      <c r="A7">
        <v>10800</v>
      </c>
      <c r="B7" t="s">
        <v>252</v>
      </c>
      <c r="C7" s="256">
        <v>1.84753E-2</v>
      </c>
      <c r="D7" s="6">
        <v>23450272</v>
      </c>
      <c r="E7" s="210"/>
      <c r="F7" s="181"/>
    </row>
    <row r="8" spans="1:11" ht="13.8" x14ac:dyDescent="0.25">
      <c r="A8">
        <v>10850</v>
      </c>
      <c r="B8" t="s">
        <v>530</v>
      </c>
      <c r="C8" s="256">
        <v>1.2909999999999999E-4</v>
      </c>
      <c r="D8" s="6">
        <v>237050.23999999999</v>
      </c>
      <c r="E8" s="210"/>
      <c r="F8" s="181"/>
    </row>
    <row r="9" spans="1:11" ht="13.8" x14ac:dyDescent="0.25">
      <c r="A9">
        <v>10900</v>
      </c>
      <c r="B9" t="s">
        <v>253</v>
      </c>
      <c r="C9" s="257">
        <v>1.5196000000000001E-3</v>
      </c>
      <c r="D9" s="6">
        <v>2095657.94</v>
      </c>
      <c r="E9" s="210"/>
      <c r="F9" s="181"/>
    </row>
    <row r="10" spans="1:11" ht="13.8" x14ac:dyDescent="0.25">
      <c r="A10">
        <v>10910</v>
      </c>
      <c r="B10" t="s">
        <v>531</v>
      </c>
      <c r="C10" s="257">
        <v>4.2190000000000001E-4</v>
      </c>
      <c r="D10" s="6">
        <v>572729.62</v>
      </c>
      <c r="E10" s="210"/>
      <c r="F10" s="181"/>
    </row>
    <row r="11" spans="1:11" ht="13.8" x14ac:dyDescent="0.25">
      <c r="A11">
        <v>10930</v>
      </c>
      <c r="B11" t="s">
        <v>532</v>
      </c>
      <c r="C11" s="257">
        <v>4.9468999999999997E-3</v>
      </c>
      <c r="D11" s="6">
        <v>6710724</v>
      </c>
      <c r="E11" s="210"/>
      <c r="F11" s="181"/>
    </row>
    <row r="12" spans="1:11" ht="13.8" x14ac:dyDescent="0.25">
      <c r="A12">
        <v>10940</v>
      </c>
      <c r="B12" t="s">
        <v>502</v>
      </c>
      <c r="C12" s="257">
        <v>6.4099999999999997E-4</v>
      </c>
      <c r="D12" s="6">
        <v>924400</v>
      </c>
      <c r="E12" s="210"/>
      <c r="F12" s="181"/>
    </row>
    <row r="13" spans="1:11" ht="13.8" x14ac:dyDescent="0.25">
      <c r="A13">
        <v>10950</v>
      </c>
      <c r="B13" t="s">
        <v>36</v>
      </c>
      <c r="C13" s="257">
        <v>8.5510000000000002E-4</v>
      </c>
      <c r="D13" s="6">
        <v>1020910</v>
      </c>
      <c r="E13" s="210"/>
      <c r="F13" s="181"/>
    </row>
    <row r="14" spans="1:11" ht="13.8" x14ac:dyDescent="0.25">
      <c r="A14">
        <v>11050</v>
      </c>
      <c r="B14" t="s">
        <v>533</v>
      </c>
      <c r="C14" s="257">
        <v>2.1479999999999999E-4</v>
      </c>
      <c r="D14" s="6">
        <v>301515</v>
      </c>
      <c r="E14" s="210"/>
      <c r="F14" s="181"/>
    </row>
    <row r="15" spans="1:11" ht="13.8" x14ac:dyDescent="0.25">
      <c r="A15">
        <v>11300</v>
      </c>
      <c r="B15" t="s">
        <v>534</v>
      </c>
      <c r="C15" s="256">
        <v>4.2671999999999996E-3</v>
      </c>
      <c r="D15" s="6">
        <v>5719154</v>
      </c>
      <c r="E15" s="210"/>
      <c r="F15" s="181"/>
    </row>
    <row r="16" spans="1:11" ht="13.8" x14ac:dyDescent="0.25">
      <c r="A16">
        <v>11310</v>
      </c>
      <c r="B16" t="s">
        <v>112</v>
      </c>
      <c r="C16" s="256">
        <v>5.1469999999999999E-4</v>
      </c>
      <c r="D16" s="6">
        <v>659385</v>
      </c>
      <c r="E16" s="210"/>
      <c r="F16" s="181"/>
    </row>
    <row r="17" spans="1:6" ht="13.8" x14ac:dyDescent="0.25">
      <c r="A17">
        <v>11600</v>
      </c>
      <c r="B17" t="s">
        <v>254</v>
      </c>
      <c r="C17" s="256">
        <v>2.2564E-3</v>
      </c>
      <c r="D17" s="6">
        <v>2399567.37</v>
      </c>
      <c r="E17" s="210"/>
      <c r="F17" s="181"/>
    </row>
    <row r="18" spans="1:6" ht="13.8" x14ac:dyDescent="0.25">
      <c r="A18">
        <v>11900</v>
      </c>
      <c r="B18" t="s">
        <v>255</v>
      </c>
      <c r="C18" s="256">
        <v>3.7419999999999999E-4</v>
      </c>
      <c r="D18" s="6">
        <v>432490.78</v>
      </c>
      <c r="E18" s="210"/>
      <c r="F18" s="181"/>
    </row>
    <row r="19" spans="1:6" ht="13.8" x14ac:dyDescent="0.25">
      <c r="A19">
        <v>12100</v>
      </c>
      <c r="B19" t="s">
        <v>535</v>
      </c>
      <c r="C19" s="256">
        <v>2.6580000000000001E-4</v>
      </c>
      <c r="D19" s="6">
        <v>326021.89</v>
      </c>
      <c r="E19" s="210"/>
      <c r="F19" s="181"/>
    </row>
    <row r="20" spans="1:6" ht="13.8" x14ac:dyDescent="0.25">
      <c r="A20">
        <v>12150</v>
      </c>
      <c r="B20" t="s">
        <v>536</v>
      </c>
      <c r="C20" s="256">
        <v>9.7000000000000003E-6</v>
      </c>
      <c r="D20" s="6">
        <v>43813.54</v>
      </c>
      <c r="E20" s="210"/>
      <c r="F20" s="181"/>
    </row>
    <row r="21" spans="1:6" ht="13.8" x14ac:dyDescent="0.25">
      <c r="A21">
        <v>12160</v>
      </c>
      <c r="B21" t="s">
        <v>256</v>
      </c>
      <c r="C21" s="257">
        <v>1.7116E-3</v>
      </c>
      <c r="D21" s="6">
        <v>2308903</v>
      </c>
      <c r="E21" s="210"/>
      <c r="F21" s="181"/>
    </row>
    <row r="22" spans="1:6" ht="13.8" x14ac:dyDescent="0.25">
      <c r="A22">
        <v>12220</v>
      </c>
      <c r="B22" t="s">
        <v>537</v>
      </c>
      <c r="C22" s="257">
        <v>4.2868700000000003E-2</v>
      </c>
      <c r="D22" s="6">
        <v>54054517</v>
      </c>
      <c r="E22" s="210"/>
      <c r="F22" s="181"/>
    </row>
    <row r="23" spans="1:6" ht="13.8" x14ac:dyDescent="0.25">
      <c r="A23">
        <v>12510</v>
      </c>
      <c r="B23" t="s">
        <v>257</v>
      </c>
      <c r="C23" s="257">
        <v>4.365E-3</v>
      </c>
      <c r="D23" s="6">
        <v>6308258</v>
      </c>
      <c r="E23" s="210"/>
      <c r="F23" s="181"/>
    </row>
    <row r="24" spans="1:6" ht="13.8" x14ac:dyDescent="0.25">
      <c r="A24">
        <v>12600</v>
      </c>
      <c r="B24" t="s">
        <v>538</v>
      </c>
      <c r="C24" s="257">
        <v>1.7125E-3</v>
      </c>
      <c r="D24" s="6">
        <v>2377041.35</v>
      </c>
      <c r="E24" s="210"/>
      <c r="F24" s="181"/>
    </row>
    <row r="25" spans="1:6" ht="13.8" x14ac:dyDescent="0.25">
      <c r="A25">
        <v>12700</v>
      </c>
      <c r="B25" t="s">
        <v>539</v>
      </c>
      <c r="C25" s="257">
        <v>9.5200000000000005E-4</v>
      </c>
      <c r="D25" s="6">
        <v>1401418.84</v>
      </c>
      <c r="E25" s="210"/>
      <c r="F25" s="181"/>
    </row>
    <row r="26" spans="1:6" ht="13.8" x14ac:dyDescent="0.25">
      <c r="A26">
        <v>13500</v>
      </c>
      <c r="B26" t="s">
        <v>540</v>
      </c>
      <c r="C26" s="257">
        <v>3.9001999999999999E-3</v>
      </c>
      <c r="D26" s="6">
        <v>5009922.2</v>
      </c>
      <c r="E26" s="210"/>
      <c r="F26" s="181"/>
    </row>
    <row r="27" spans="1:6" ht="13.8" x14ac:dyDescent="0.25">
      <c r="A27">
        <v>13700</v>
      </c>
      <c r="B27" t="s">
        <v>541</v>
      </c>
      <c r="C27" s="256">
        <v>4.2119999999999999E-4</v>
      </c>
      <c r="D27" s="6">
        <v>587828</v>
      </c>
      <c r="E27" s="210"/>
      <c r="F27" s="181"/>
    </row>
    <row r="28" spans="1:6" ht="13.8" x14ac:dyDescent="0.25">
      <c r="A28">
        <v>14300</v>
      </c>
      <c r="B28" t="s">
        <v>542</v>
      </c>
      <c r="C28" s="256">
        <v>1.3638999999999999E-3</v>
      </c>
      <c r="D28" s="6">
        <v>1649856</v>
      </c>
      <c r="E28" s="210"/>
      <c r="F28" s="181"/>
    </row>
    <row r="29" spans="1:6" ht="13.8" x14ac:dyDescent="0.25">
      <c r="A29" s="143">
        <v>14300.2</v>
      </c>
      <c r="B29" s="143" t="s">
        <v>168</v>
      </c>
      <c r="C29" s="256">
        <v>1.7320000000000001E-4</v>
      </c>
      <c r="D29" s="144">
        <v>243020</v>
      </c>
      <c r="E29" s="210"/>
      <c r="F29" s="181"/>
    </row>
    <row r="30" spans="1:6" ht="13.8" x14ac:dyDescent="0.25">
      <c r="A30">
        <v>18400</v>
      </c>
      <c r="B30" t="s">
        <v>543</v>
      </c>
      <c r="C30" s="256">
        <v>4.7685000000000002E-3</v>
      </c>
      <c r="D30" s="6">
        <v>6037035</v>
      </c>
      <c r="E30" s="210"/>
      <c r="F30" s="181"/>
    </row>
    <row r="31" spans="1:6" ht="13.8" x14ac:dyDescent="0.25">
      <c r="A31">
        <v>18600</v>
      </c>
      <c r="B31" t="s">
        <v>544</v>
      </c>
      <c r="C31" s="256">
        <v>1.42E-5</v>
      </c>
      <c r="D31" s="6">
        <v>19133</v>
      </c>
      <c r="E31" s="210"/>
      <c r="F31" s="181"/>
    </row>
    <row r="32" spans="1:6" ht="13.8" x14ac:dyDescent="0.25">
      <c r="A32">
        <v>18640</v>
      </c>
      <c r="B32" t="s">
        <v>244</v>
      </c>
      <c r="C32" s="256">
        <v>1.9E-6</v>
      </c>
      <c r="D32" s="6">
        <v>2459</v>
      </c>
      <c r="E32" s="210"/>
      <c r="F32" s="181"/>
    </row>
    <row r="33" spans="1:6" x14ac:dyDescent="0.25">
      <c r="A33">
        <v>18740</v>
      </c>
      <c r="B33" t="s">
        <v>545</v>
      </c>
      <c r="C33" s="254"/>
      <c r="D33" s="6">
        <v>9959.4</v>
      </c>
      <c r="E33" s="255" t="s">
        <v>890</v>
      </c>
      <c r="F33" s="181"/>
    </row>
    <row r="34" spans="1:6" ht="13.8" x14ac:dyDescent="0.25">
      <c r="A34">
        <v>18780</v>
      </c>
      <c r="B34" t="s">
        <v>546</v>
      </c>
      <c r="C34" s="257">
        <v>2.27E-5</v>
      </c>
      <c r="D34" s="6">
        <v>20368.82</v>
      </c>
      <c r="E34" s="210"/>
      <c r="F34" s="181"/>
    </row>
    <row r="35" spans="1:6" ht="13.8" x14ac:dyDescent="0.25">
      <c r="A35">
        <v>19005</v>
      </c>
      <c r="B35" t="s">
        <v>547</v>
      </c>
      <c r="C35" s="257">
        <v>6.7610000000000001E-4</v>
      </c>
      <c r="D35" s="6">
        <v>1027776.51</v>
      </c>
      <c r="E35" s="210"/>
      <c r="F35" s="181"/>
    </row>
    <row r="36" spans="1:6" ht="13.8" x14ac:dyDescent="0.25">
      <c r="A36">
        <v>19100</v>
      </c>
      <c r="B36" t="s">
        <v>258</v>
      </c>
      <c r="C36" s="257">
        <v>6.2419799999999998E-2</v>
      </c>
      <c r="D36" s="6">
        <v>74397400</v>
      </c>
      <c r="E36" s="210"/>
      <c r="F36" s="181"/>
    </row>
    <row r="37" spans="1:6" ht="13.8" x14ac:dyDescent="0.25">
      <c r="A37">
        <v>20100</v>
      </c>
      <c r="B37" t="s">
        <v>37</v>
      </c>
      <c r="C37" s="257">
        <v>1.0268299999999999E-2</v>
      </c>
      <c r="D37" s="6">
        <v>12731226</v>
      </c>
      <c r="E37" s="210"/>
      <c r="F37" s="181"/>
    </row>
    <row r="38" spans="1:6" ht="13.8" x14ac:dyDescent="0.25">
      <c r="A38">
        <v>20200</v>
      </c>
      <c r="B38" t="s">
        <v>38</v>
      </c>
      <c r="C38" s="257">
        <v>1.4829999999999999E-3</v>
      </c>
      <c r="D38" s="6">
        <v>1902736</v>
      </c>
      <c r="E38" s="210"/>
      <c r="F38" s="181"/>
    </row>
    <row r="39" spans="1:6" ht="13.8" x14ac:dyDescent="0.25">
      <c r="A39">
        <v>20300</v>
      </c>
      <c r="B39" t="s">
        <v>39</v>
      </c>
      <c r="C39" s="257">
        <v>2.2540500000000002E-2</v>
      </c>
      <c r="D39" s="6">
        <v>26540713</v>
      </c>
      <c r="E39" s="210"/>
      <c r="F39" s="181"/>
    </row>
    <row r="40" spans="1:6" ht="13.8" x14ac:dyDescent="0.25">
      <c r="A40">
        <v>20400</v>
      </c>
      <c r="B40" t="s">
        <v>40</v>
      </c>
      <c r="C40" s="256">
        <v>1.1777000000000001E-3</v>
      </c>
      <c r="D40" s="6">
        <v>1472794</v>
      </c>
      <c r="E40" s="210"/>
      <c r="F40" s="181"/>
    </row>
    <row r="41" spans="1:6" ht="13.8" x14ac:dyDescent="0.25">
      <c r="A41">
        <v>20600</v>
      </c>
      <c r="B41" t="s">
        <v>41</v>
      </c>
      <c r="C41" s="256">
        <v>2.5284999999999999E-3</v>
      </c>
      <c r="D41" s="6">
        <v>3382492</v>
      </c>
      <c r="E41" s="210"/>
      <c r="F41" s="181"/>
    </row>
    <row r="42" spans="1:6" ht="13.8" x14ac:dyDescent="0.25">
      <c r="A42">
        <v>20700</v>
      </c>
      <c r="B42" t="s">
        <v>42</v>
      </c>
      <c r="C42" s="256">
        <v>5.8757999999999996E-3</v>
      </c>
      <c r="D42" s="6">
        <v>7419443</v>
      </c>
      <c r="E42" s="210"/>
      <c r="F42" s="181"/>
    </row>
    <row r="43" spans="1:6" ht="13.8" x14ac:dyDescent="0.25">
      <c r="A43">
        <v>20800</v>
      </c>
      <c r="B43" t="s">
        <v>43</v>
      </c>
      <c r="C43" s="256">
        <v>4.2357999999999996E-3</v>
      </c>
      <c r="D43" s="6">
        <v>5503861</v>
      </c>
      <c r="E43" s="210"/>
      <c r="F43" s="181"/>
    </row>
    <row r="44" spans="1:6" ht="13.8" x14ac:dyDescent="0.25">
      <c r="A44">
        <v>20900</v>
      </c>
      <c r="B44" t="s">
        <v>44</v>
      </c>
      <c r="C44" s="256">
        <v>1.00625E-2</v>
      </c>
      <c r="D44" s="6">
        <v>11957869</v>
      </c>
      <c r="E44" s="210"/>
      <c r="F44" s="181"/>
    </row>
    <row r="45" spans="1:6" ht="13.8" x14ac:dyDescent="0.25">
      <c r="A45">
        <v>21200</v>
      </c>
      <c r="B45" t="s">
        <v>45</v>
      </c>
      <c r="C45" s="256">
        <v>3.0068E-3</v>
      </c>
      <c r="D45" s="6">
        <v>3649897.34</v>
      </c>
      <c r="E45" s="210"/>
      <c r="F45" s="181"/>
    </row>
    <row r="46" spans="1:6" ht="13.8" x14ac:dyDescent="0.25">
      <c r="A46">
        <v>21300</v>
      </c>
      <c r="B46" t="s">
        <v>46</v>
      </c>
      <c r="C46" s="257">
        <v>3.72503E-2</v>
      </c>
      <c r="D46" s="6">
        <v>44118801</v>
      </c>
      <c r="E46" s="210"/>
      <c r="F46" s="181"/>
    </row>
    <row r="47" spans="1:6" ht="13.8" x14ac:dyDescent="0.25">
      <c r="A47">
        <v>21520</v>
      </c>
      <c r="B47" t="s">
        <v>503</v>
      </c>
      <c r="C47" s="257">
        <v>7.1698600000000001E-2</v>
      </c>
      <c r="D47" s="6">
        <v>83005713</v>
      </c>
      <c r="E47" s="210"/>
      <c r="F47" s="181"/>
    </row>
    <row r="48" spans="1:6" ht="13.8" x14ac:dyDescent="0.25">
      <c r="A48">
        <v>21525</v>
      </c>
      <c r="B48" t="s">
        <v>548</v>
      </c>
      <c r="C48" s="257">
        <v>1.8894999999999999E-3</v>
      </c>
      <c r="D48" s="6">
        <v>2177276</v>
      </c>
      <c r="E48" s="210"/>
      <c r="F48" s="181"/>
    </row>
    <row r="49" spans="1:6" ht="13.8" x14ac:dyDescent="0.25">
      <c r="A49" s="143">
        <v>21525.200000000001</v>
      </c>
      <c r="B49" s="143" t="s">
        <v>549</v>
      </c>
      <c r="C49" s="257">
        <v>1.852E-4</v>
      </c>
      <c r="D49" s="144">
        <v>241652</v>
      </c>
      <c r="E49" s="210"/>
      <c r="F49" s="181"/>
    </row>
    <row r="50" spans="1:6" ht="13.8" x14ac:dyDescent="0.25">
      <c r="A50">
        <v>21550</v>
      </c>
      <c r="B50" t="s">
        <v>48</v>
      </c>
      <c r="C50" s="257">
        <v>4.6175399999999998E-2</v>
      </c>
      <c r="D50" s="6">
        <v>51066414</v>
      </c>
      <c r="E50" s="210"/>
      <c r="F50" s="181"/>
    </row>
    <row r="51" spans="1:6" ht="13.8" x14ac:dyDescent="0.25">
      <c r="A51">
        <v>21570</v>
      </c>
      <c r="B51" t="s">
        <v>259</v>
      </c>
      <c r="C51" s="257">
        <v>1.973E-4</v>
      </c>
      <c r="D51" s="6">
        <v>258611.37</v>
      </c>
      <c r="E51" s="210"/>
      <c r="F51" s="181"/>
    </row>
    <row r="52" spans="1:6" ht="13.8" x14ac:dyDescent="0.25">
      <c r="A52">
        <v>21800</v>
      </c>
      <c r="B52" t="s">
        <v>49</v>
      </c>
      <c r="C52" s="256">
        <v>5.7423999999999999E-3</v>
      </c>
      <c r="D52" s="6">
        <v>6683884</v>
      </c>
      <c r="E52" s="210"/>
      <c r="F52" s="181"/>
    </row>
    <row r="53" spans="1:6" ht="13.8" x14ac:dyDescent="0.25">
      <c r="A53">
        <v>21900</v>
      </c>
      <c r="B53" t="s">
        <v>50</v>
      </c>
      <c r="C53" s="256">
        <v>2.5501E-3</v>
      </c>
      <c r="D53" s="6">
        <v>3280712</v>
      </c>
      <c r="E53" s="210"/>
      <c r="F53" s="181"/>
    </row>
    <row r="54" spans="1:6" ht="13.8" x14ac:dyDescent="0.25">
      <c r="A54">
        <v>22000</v>
      </c>
      <c r="B54" t="s">
        <v>260</v>
      </c>
      <c r="C54" s="256">
        <v>3.3378000000000001E-3</v>
      </c>
      <c r="D54" s="6">
        <v>4465561.5</v>
      </c>
      <c r="E54" s="210"/>
      <c r="F54" s="181"/>
    </row>
    <row r="55" spans="1:6" ht="13.8" x14ac:dyDescent="0.25">
      <c r="A55">
        <v>23000</v>
      </c>
      <c r="B55" t="s">
        <v>51</v>
      </c>
      <c r="C55" s="256">
        <v>2.2418E-3</v>
      </c>
      <c r="D55" s="6">
        <v>2636948.77</v>
      </c>
      <c r="E55" s="210"/>
      <c r="F55" s="181"/>
    </row>
    <row r="56" spans="1:6" ht="13.8" x14ac:dyDescent="0.25">
      <c r="A56">
        <v>23100</v>
      </c>
      <c r="B56" t="s">
        <v>52</v>
      </c>
      <c r="C56" s="256">
        <v>1.50361E-2</v>
      </c>
      <c r="D56" s="6">
        <v>17145044</v>
      </c>
      <c r="E56" s="210"/>
      <c r="F56" s="181"/>
    </row>
    <row r="57" spans="1:6" ht="13.8" x14ac:dyDescent="0.25">
      <c r="A57">
        <v>23200</v>
      </c>
      <c r="B57" t="s">
        <v>53</v>
      </c>
      <c r="C57" s="256">
        <v>8.4893E-3</v>
      </c>
      <c r="D57" s="6">
        <v>10153177</v>
      </c>
      <c r="E57" s="210"/>
      <c r="F57" s="181"/>
    </row>
    <row r="58" spans="1:6" ht="13.8" x14ac:dyDescent="0.25">
      <c r="A58">
        <v>30000</v>
      </c>
      <c r="B58" t="s">
        <v>261</v>
      </c>
      <c r="C58" s="256">
        <v>7.1259999999999997E-4</v>
      </c>
      <c r="D58" s="6">
        <v>872179</v>
      </c>
      <c r="E58" s="210"/>
      <c r="F58" s="181"/>
    </row>
    <row r="59" spans="1:6" ht="13.8" x14ac:dyDescent="0.25">
      <c r="A59">
        <v>30100</v>
      </c>
      <c r="B59" t="s">
        <v>262</v>
      </c>
      <c r="C59" s="256">
        <v>7.7353999999999999E-3</v>
      </c>
      <c r="D59" s="6">
        <v>8915281</v>
      </c>
      <c r="E59" s="210"/>
      <c r="F59" s="181"/>
    </row>
    <row r="60" spans="1:6" ht="13.8" x14ac:dyDescent="0.25">
      <c r="A60">
        <v>30102</v>
      </c>
      <c r="B60" t="s">
        <v>263</v>
      </c>
      <c r="C60" s="256">
        <v>1.6569999999999999E-4</v>
      </c>
      <c r="D60" s="6">
        <v>172642.31</v>
      </c>
      <c r="E60" s="210"/>
      <c r="F60" s="181"/>
    </row>
    <row r="61" spans="1:6" ht="13.8" x14ac:dyDescent="0.25">
      <c r="A61">
        <v>30103</v>
      </c>
      <c r="B61" t="s">
        <v>264</v>
      </c>
      <c r="C61" s="256">
        <v>2.0919999999999999E-4</v>
      </c>
      <c r="D61" s="6">
        <v>221026</v>
      </c>
      <c r="E61" s="210"/>
      <c r="F61" s="181"/>
    </row>
    <row r="62" spans="1:6" ht="13.8" x14ac:dyDescent="0.25">
      <c r="A62">
        <v>30104</v>
      </c>
      <c r="B62" t="s">
        <v>265</v>
      </c>
      <c r="C62" s="256">
        <v>1.372E-4</v>
      </c>
      <c r="D62" s="6">
        <v>162026</v>
      </c>
      <c r="E62" s="210"/>
      <c r="F62" s="181"/>
    </row>
    <row r="63" spans="1:6" ht="13.8" x14ac:dyDescent="0.25">
      <c r="A63">
        <v>30105</v>
      </c>
      <c r="B63" t="s">
        <v>54</v>
      </c>
      <c r="C63" s="256">
        <v>6.9539999999999999E-4</v>
      </c>
      <c r="D63" s="6">
        <v>914067.63</v>
      </c>
      <c r="E63" s="210"/>
      <c r="F63" s="181"/>
    </row>
    <row r="64" spans="1:6" ht="13.8" x14ac:dyDescent="0.25">
      <c r="A64">
        <v>30200</v>
      </c>
      <c r="B64" t="s">
        <v>266</v>
      </c>
      <c r="C64" s="257">
        <v>1.7236E-3</v>
      </c>
      <c r="D64" s="6">
        <v>2133714.02</v>
      </c>
      <c r="E64" s="210"/>
      <c r="F64" s="181"/>
    </row>
    <row r="65" spans="1:6" ht="13.8" x14ac:dyDescent="0.25">
      <c r="A65">
        <v>30300</v>
      </c>
      <c r="B65" t="s">
        <v>267</v>
      </c>
      <c r="C65" s="257">
        <v>5.3140000000000001E-4</v>
      </c>
      <c r="D65" s="6">
        <v>679479</v>
      </c>
      <c r="E65" s="210"/>
      <c r="F65" s="181"/>
    </row>
    <row r="66" spans="1:6" ht="13.8" x14ac:dyDescent="0.25">
      <c r="A66">
        <v>30400</v>
      </c>
      <c r="B66" t="s">
        <v>268</v>
      </c>
      <c r="C66" s="257">
        <v>9.9449999999999994E-4</v>
      </c>
      <c r="D66" s="6">
        <v>1289023</v>
      </c>
      <c r="E66" s="210"/>
      <c r="F66" s="181"/>
    </row>
    <row r="67" spans="1:6" ht="13.8" x14ac:dyDescent="0.25">
      <c r="A67">
        <v>30405</v>
      </c>
      <c r="B67" t="s">
        <v>55</v>
      </c>
      <c r="C67" s="257">
        <v>6.1740000000000005E-4</v>
      </c>
      <c r="D67" s="6">
        <v>774044.54</v>
      </c>
      <c r="E67" s="210"/>
      <c r="F67" s="181"/>
    </row>
    <row r="68" spans="1:6" ht="13.8" x14ac:dyDescent="0.25">
      <c r="A68">
        <v>30500</v>
      </c>
      <c r="B68" t="s">
        <v>269</v>
      </c>
      <c r="C68" s="257">
        <v>9.8919999999999998E-4</v>
      </c>
      <c r="D68" s="6">
        <v>1240987.33</v>
      </c>
      <c r="E68" s="210"/>
      <c r="F68" s="181"/>
    </row>
    <row r="69" spans="1:6" ht="13.8" x14ac:dyDescent="0.25">
      <c r="A69">
        <v>30600</v>
      </c>
      <c r="B69" t="s">
        <v>270</v>
      </c>
      <c r="C69" s="257">
        <v>7.8299999999999995E-4</v>
      </c>
      <c r="D69" s="6">
        <v>980270</v>
      </c>
      <c r="E69" s="210"/>
      <c r="F69" s="181"/>
    </row>
    <row r="70" spans="1:6" ht="13.8" x14ac:dyDescent="0.25">
      <c r="A70">
        <v>30700</v>
      </c>
      <c r="B70" t="s">
        <v>272</v>
      </c>
      <c r="C70" s="256">
        <v>2.2831000000000001E-3</v>
      </c>
      <c r="D70" s="6">
        <v>2813917.01</v>
      </c>
      <c r="E70" s="210"/>
      <c r="F70" s="181"/>
    </row>
    <row r="71" spans="1:6" ht="13.8" x14ac:dyDescent="0.25">
      <c r="A71">
        <v>30705</v>
      </c>
      <c r="B71" t="s">
        <v>56</v>
      </c>
      <c r="C71" s="256">
        <v>4.0989999999999999E-4</v>
      </c>
      <c r="D71" s="6">
        <v>501104</v>
      </c>
      <c r="E71" s="210"/>
      <c r="F71" s="181"/>
    </row>
    <row r="72" spans="1:6" ht="13.8" x14ac:dyDescent="0.25">
      <c r="A72">
        <v>30800</v>
      </c>
      <c r="B72" t="s">
        <v>273</v>
      </c>
      <c r="C72" s="256">
        <v>6.0789999999999998E-4</v>
      </c>
      <c r="D72" s="6">
        <v>865148.51</v>
      </c>
      <c r="E72" s="210"/>
      <c r="F72" s="181"/>
    </row>
    <row r="73" spans="1:6" ht="13.8" x14ac:dyDescent="0.25">
      <c r="A73">
        <v>30900</v>
      </c>
      <c r="B73" t="s">
        <v>274</v>
      </c>
      <c r="C73" s="256">
        <v>1.2806E-3</v>
      </c>
      <c r="D73" s="6">
        <v>1750227</v>
      </c>
      <c r="E73" s="210"/>
      <c r="F73" s="181"/>
    </row>
    <row r="74" spans="1:6" ht="13.8" x14ac:dyDescent="0.25">
      <c r="A74">
        <v>30905</v>
      </c>
      <c r="B74" t="s">
        <v>57</v>
      </c>
      <c r="C74" s="256">
        <v>2.3910000000000001E-4</v>
      </c>
      <c r="D74" s="6">
        <v>382108.92</v>
      </c>
      <c r="E74" s="210"/>
      <c r="F74" s="181"/>
    </row>
    <row r="75" spans="1:6" ht="13.8" x14ac:dyDescent="0.25">
      <c r="A75">
        <v>31000</v>
      </c>
      <c r="B75" t="s">
        <v>275</v>
      </c>
      <c r="C75" s="256">
        <v>4.2471999999999996E-3</v>
      </c>
      <c r="D75" s="6">
        <v>5073111.53</v>
      </c>
      <c r="E75" s="210"/>
      <c r="F75" s="181"/>
    </row>
    <row r="76" spans="1:6" ht="13.8" x14ac:dyDescent="0.25">
      <c r="A76">
        <v>31005</v>
      </c>
      <c r="B76" t="s">
        <v>58</v>
      </c>
      <c r="C76" s="257">
        <v>3.8959999999999998E-4</v>
      </c>
      <c r="D76" s="6">
        <v>518388</v>
      </c>
      <c r="E76" s="210"/>
      <c r="F76" s="181"/>
    </row>
    <row r="77" spans="1:6" ht="13.8" x14ac:dyDescent="0.25">
      <c r="A77">
        <v>31100</v>
      </c>
      <c r="B77" t="s">
        <v>276</v>
      </c>
      <c r="C77" s="257">
        <v>8.3160999999999999E-3</v>
      </c>
      <c r="D77" s="6">
        <v>10002544</v>
      </c>
      <c r="E77" s="210"/>
      <c r="F77" s="181"/>
    </row>
    <row r="78" spans="1:6" ht="13.8" x14ac:dyDescent="0.25">
      <c r="A78">
        <v>31101</v>
      </c>
      <c r="B78" t="s">
        <v>550</v>
      </c>
      <c r="C78" s="257">
        <v>5.5600000000000003E-5</v>
      </c>
      <c r="D78" s="6">
        <v>96361</v>
      </c>
      <c r="E78" s="210"/>
      <c r="F78" s="181"/>
    </row>
    <row r="79" spans="1:6" ht="13.8" x14ac:dyDescent="0.25">
      <c r="A79">
        <v>31102</v>
      </c>
      <c r="B79" t="s">
        <v>277</v>
      </c>
      <c r="C79" s="257">
        <v>1.4789999999999999E-4</v>
      </c>
      <c r="D79" s="6">
        <v>158892.03</v>
      </c>
      <c r="E79" s="210"/>
      <c r="F79" s="181"/>
    </row>
    <row r="80" spans="1:6" ht="13.8" x14ac:dyDescent="0.25">
      <c r="A80">
        <v>31105</v>
      </c>
      <c r="B80" t="s">
        <v>59</v>
      </c>
      <c r="C80" s="257">
        <v>1.2712999999999999E-3</v>
      </c>
      <c r="D80" s="6">
        <v>1584168.36</v>
      </c>
      <c r="E80" s="210"/>
      <c r="F80" s="181"/>
    </row>
    <row r="81" spans="1:6" ht="13.8" x14ac:dyDescent="0.25">
      <c r="A81">
        <v>31110</v>
      </c>
      <c r="B81" t="s">
        <v>278</v>
      </c>
      <c r="C81" s="257">
        <v>2.0163999999999998E-3</v>
      </c>
      <c r="D81" s="6">
        <v>2326985</v>
      </c>
      <c r="E81" s="210"/>
      <c r="F81" s="181"/>
    </row>
    <row r="82" spans="1:6" ht="13.8" x14ac:dyDescent="0.25">
      <c r="A82">
        <v>31200</v>
      </c>
      <c r="B82" t="s">
        <v>279</v>
      </c>
      <c r="C82" s="256">
        <v>3.6721000000000002E-3</v>
      </c>
      <c r="D82" s="6">
        <v>4634940.97</v>
      </c>
      <c r="E82" s="210"/>
      <c r="F82" s="181"/>
    </row>
    <row r="83" spans="1:6" ht="13.8" x14ac:dyDescent="0.25">
      <c r="A83">
        <v>31205</v>
      </c>
      <c r="B83" t="s">
        <v>60</v>
      </c>
      <c r="C83" s="256">
        <v>4.0299999999999998E-4</v>
      </c>
      <c r="D83" s="6">
        <v>541878</v>
      </c>
      <c r="E83" s="210"/>
      <c r="F83" s="181"/>
    </row>
    <row r="84" spans="1:6" ht="13.8" x14ac:dyDescent="0.25">
      <c r="A84">
        <v>31300</v>
      </c>
      <c r="B84" t="s">
        <v>280</v>
      </c>
      <c r="C84" s="256">
        <v>1.10978E-2</v>
      </c>
      <c r="D84" s="6">
        <v>12387319</v>
      </c>
      <c r="E84" s="210"/>
      <c r="F84" s="181"/>
    </row>
    <row r="85" spans="1:6" ht="13.8" x14ac:dyDescent="0.25">
      <c r="A85">
        <v>31301</v>
      </c>
      <c r="B85" t="s">
        <v>281</v>
      </c>
      <c r="C85" s="256">
        <v>2.061E-4</v>
      </c>
      <c r="D85" s="6">
        <v>233336.49</v>
      </c>
      <c r="E85" s="210"/>
      <c r="F85" s="181"/>
    </row>
    <row r="86" spans="1:6" ht="13.8" x14ac:dyDescent="0.25">
      <c r="A86">
        <v>31320</v>
      </c>
      <c r="B86" t="s">
        <v>282</v>
      </c>
      <c r="C86" s="256">
        <v>1.8113999999999999E-3</v>
      </c>
      <c r="D86" s="6">
        <v>2080225.79</v>
      </c>
      <c r="E86" s="210"/>
      <c r="F86" s="181"/>
    </row>
    <row r="87" spans="1:6" ht="13.8" x14ac:dyDescent="0.25">
      <c r="A87">
        <v>31400</v>
      </c>
      <c r="B87" t="s">
        <v>283</v>
      </c>
      <c r="C87" s="256">
        <v>3.6351E-3</v>
      </c>
      <c r="D87" s="6">
        <v>4592111</v>
      </c>
      <c r="E87" s="210"/>
      <c r="F87" s="181"/>
    </row>
    <row r="88" spans="1:6" ht="13.8" x14ac:dyDescent="0.25">
      <c r="A88">
        <v>31405</v>
      </c>
      <c r="B88" t="s">
        <v>61</v>
      </c>
      <c r="C88" s="257">
        <v>7.5350000000000005E-4</v>
      </c>
      <c r="D88" s="6">
        <v>1024666.31</v>
      </c>
      <c r="E88" s="210"/>
      <c r="F88" s="181"/>
    </row>
    <row r="89" spans="1:6" ht="13.8" x14ac:dyDescent="0.25">
      <c r="A89">
        <v>31500</v>
      </c>
      <c r="B89" t="s">
        <v>284</v>
      </c>
      <c r="C89" s="257">
        <v>6.8369999999999998E-4</v>
      </c>
      <c r="D89" s="6">
        <v>838371.88</v>
      </c>
      <c r="E89" s="210"/>
      <c r="F89" s="181"/>
    </row>
    <row r="90" spans="1:6" ht="13.8" x14ac:dyDescent="0.25">
      <c r="A90">
        <v>31600</v>
      </c>
      <c r="B90" t="s">
        <v>285</v>
      </c>
      <c r="C90" s="257">
        <v>2.9642000000000002E-3</v>
      </c>
      <c r="D90" s="6">
        <v>3544916</v>
      </c>
      <c r="E90" s="210"/>
      <c r="F90" s="181"/>
    </row>
    <row r="91" spans="1:6" ht="13.8" x14ac:dyDescent="0.25">
      <c r="A91">
        <v>31605</v>
      </c>
      <c r="B91" t="s">
        <v>62</v>
      </c>
      <c r="C91" s="257">
        <v>4.2230000000000002E-4</v>
      </c>
      <c r="D91" s="6">
        <v>557700</v>
      </c>
      <c r="E91" s="210"/>
      <c r="F91" s="181"/>
    </row>
    <row r="92" spans="1:6" ht="13.8" x14ac:dyDescent="0.25">
      <c r="A92">
        <v>31700</v>
      </c>
      <c r="B92" t="s">
        <v>286</v>
      </c>
      <c r="C92" s="257">
        <v>7.2889999999999999E-4</v>
      </c>
      <c r="D92" s="6">
        <v>983055.09</v>
      </c>
      <c r="E92" s="210"/>
      <c r="F92" s="181"/>
    </row>
    <row r="93" spans="1:6" ht="13.8" x14ac:dyDescent="0.25">
      <c r="A93">
        <v>31800</v>
      </c>
      <c r="B93" t="s">
        <v>287</v>
      </c>
      <c r="C93" s="257">
        <v>5.0993000000000002E-3</v>
      </c>
      <c r="D93" s="6">
        <v>6287295</v>
      </c>
      <c r="E93" s="210"/>
      <c r="F93" s="181"/>
    </row>
    <row r="94" spans="1:6" ht="13.8" x14ac:dyDescent="0.25">
      <c r="A94">
        <v>31805</v>
      </c>
      <c r="B94" t="s">
        <v>63</v>
      </c>
      <c r="C94" s="256">
        <v>1.0972E-3</v>
      </c>
      <c r="D94" s="6">
        <v>1458980</v>
      </c>
      <c r="E94" s="210"/>
      <c r="F94" s="181"/>
    </row>
    <row r="95" spans="1:6" ht="13.8" x14ac:dyDescent="0.25">
      <c r="A95">
        <v>31810</v>
      </c>
      <c r="B95" t="s">
        <v>288</v>
      </c>
      <c r="C95" s="256">
        <v>1.2235E-3</v>
      </c>
      <c r="D95" s="6">
        <v>1555054</v>
      </c>
      <c r="E95" s="210"/>
      <c r="F95" s="181"/>
    </row>
    <row r="96" spans="1:6" ht="13.8" x14ac:dyDescent="0.25">
      <c r="A96">
        <v>31820</v>
      </c>
      <c r="B96" t="s">
        <v>289</v>
      </c>
      <c r="C96" s="256">
        <v>1.0223999999999999E-3</v>
      </c>
      <c r="D96" s="6">
        <v>1230414</v>
      </c>
      <c r="E96" s="210"/>
      <c r="F96" s="181"/>
    </row>
    <row r="97" spans="1:6" ht="13.8" x14ac:dyDescent="0.25">
      <c r="A97">
        <v>31900</v>
      </c>
      <c r="B97" t="s">
        <v>290</v>
      </c>
      <c r="C97" s="256">
        <v>3.2539999999999999E-3</v>
      </c>
      <c r="D97" s="6">
        <v>3861802.46</v>
      </c>
      <c r="E97" s="210"/>
      <c r="F97" s="181"/>
    </row>
    <row r="98" spans="1:6" ht="13.8" x14ac:dyDescent="0.25">
      <c r="A98">
        <v>32000</v>
      </c>
      <c r="B98" t="s">
        <v>291</v>
      </c>
      <c r="C98" s="256">
        <v>1.2087999999999999E-3</v>
      </c>
      <c r="D98" s="6">
        <v>1499364</v>
      </c>
      <c r="E98" s="210"/>
      <c r="F98" s="181"/>
    </row>
    <row r="99" spans="1:6" ht="13.8" x14ac:dyDescent="0.25">
      <c r="A99">
        <v>32005</v>
      </c>
      <c r="B99" t="s">
        <v>64</v>
      </c>
      <c r="C99" s="256">
        <v>3.165E-4</v>
      </c>
      <c r="D99" s="6">
        <v>369935.76</v>
      </c>
      <c r="E99" s="210"/>
      <c r="F99" s="181"/>
    </row>
    <row r="100" spans="1:6" ht="13.8" x14ac:dyDescent="0.25">
      <c r="A100">
        <v>32100</v>
      </c>
      <c r="B100" t="s">
        <v>292</v>
      </c>
      <c r="C100" s="257">
        <v>6.7750000000000004E-4</v>
      </c>
      <c r="D100" s="6">
        <v>897458</v>
      </c>
      <c r="E100" s="210"/>
      <c r="F100" s="181"/>
    </row>
    <row r="101" spans="1:6" ht="13.8" x14ac:dyDescent="0.25">
      <c r="A101">
        <v>32200</v>
      </c>
      <c r="B101" t="s">
        <v>293</v>
      </c>
      <c r="C101" s="257">
        <v>4.9339999999999996E-4</v>
      </c>
      <c r="D101" s="6">
        <v>609874.89</v>
      </c>
      <c r="E101" s="210"/>
      <c r="F101" s="181"/>
    </row>
    <row r="102" spans="1:6" ht="13.8" x14ac:dyDescent="0.25">
      <c r="A102">
        <v>32300</v>
      </c>
      <c r="B102" t="s">
        <v>294</v>
      </c>
      <c r="C102" s="257">
        <v>4.9522999999999998E-3</v>
      </c>
      <c r="D102" s="6">
        <v>6010459</v>
      </c>
      <c r="E102" s="210"/>
      <c r="F102" s="181"/>
    </row>
    <row r="103" spans="1:6" ht="13.8" x14ac:dyDescent="0.25">
      <c r="A103">
        <v>32305</v>
      </c>
      <c r="B103" t="s">
        <v>551</v>
      </c>
      <c r="C103" s="257">
        <v>5.3229999999999998E-4</v>
      </c>
      <c r="D103" s="6">
        <v>649994</v>
      </c>
      <c r="E103" s="210"/>
      <c r="F103" s="181"/>
    </row>
    <row r="104" spans="1:6" ht="13.8" x14ac:dyDescent="0.25">
      <c r="A104">
        <v>32400</v>
      </c>
      <c r="B104" t="s">
        <v>295</v>
      </c>
      <c r="C104" s="257">
        <v>1.6892000000000001E-3</v>
      </c>
      <c r="D104" s="6">
        <v>2235899.54</v>
      </c>
      <c r="E104" s="210"/>
      <c r="F104" s="181"/>
    </row>
    <row r="105" spans="1:6" ht="13.8" x14ac:dyDescent="0.25">
      <c r="A105">
        <v>32405</v>
      </c>
      <c r="B105" t="s">
        <v>66</v>
      </c>
      <c r="C105" s="257">
        <v>4.083E-4</v>
      </c>
      <c r="D105" s="6">
        <v>541165</v>
      </c>
      <c r="E105" s="210"/>
      <c r="F105" s="181"/>
    </row>
    <row r="106" spans="1:6" ht="13.8" x14ac:dyDescent="0.25">
      <c r="A106">
        <v>32410</v>
      </c>
      <c r="B106" t="s">
        <v>296</v>
      </c>
      <c r="C106" s="256">
        <v>7.8819999999999997E-4</v>
      </c>
      <c r="D106" s="6">
        <v>1064134</v>
      </c>
      <c r="E106" s="210"/>
      <c r="F106" s="181"/>
    </row>
    <row r="107" spans="1:6" ht="13.8" x14ac:dyDescent="0.25">
      <c r="A107">
        <v>32500</v>
      </c>
      <c r="B107" t="s">
        <v>552</v>
      </c>
      <c r="C107" s="256">
        <v>4.0829999999999998E-3</v>
      </c>
      <c r="D107" s="6">
        <v>4946000.71</v>
      </c>
      <c r="E107" s="210"/>
      <c r="F107" s="181"/>
    </row>
    <row r="108" spans="1:6" ht="13.8" x14ac:dyDescent="0.25">
      <c r="A108">
        <v>32505</v>
      </c>
      <c r="B108" t="s">
        <v>67</v>
      </c>
      <c r="C108" s="256">
        <v>6.4179999999999999E-4</v>
      </c>
      <c r="D108" s="6">
        <v>793374.34</v>
      </c>
      <c r="E108" s="210"/>
      <c r="F108" s="181"/>
    </row>
    <row r="109" spans="1:6" ht="13.8" x14ac:dyDescent="0.25">
      <c r="A109">
        <v>32600</v>
      </c>
      <c r="B109" t="s">
        <v>297</v>
      </c>
      <c r="C109" s="256">
        <v>1.5854300000000002E-2</v>
      </c>
      <c r="D109" s="6">
        <v>19467640</v>
      </c>
      <c r="E109" s="210"/>
      <c r="F109" s="181"/>
    </row>
    <row r="110" spans="1:6" ht="13.8" x14ac:dyDescent="0.25">
      <c r="A110">
        <v>32605</v>
      </c>
      <c r="B110" t="s">
        <v>68</v>
      </c>
      <c r="C110" s="256">
        <v>2.3804999999999998E-3</v>
      </c>
      <c r="D110" s="6">
        <v>3114016.06</v>
      </c>
      <c r="E110" s="210"/>
      <c r="F110" s="181"/>
    </row>
    <row r="111" spans="1:6" ht="13.8" x14ac:dyDescent="0.25">
      <c r="A111">
        <v>32700</v>
      </c>
      <c r="B111" t="s">
        <v>298</v>
      </c>
      <c r="C111" s="256">
        <v>1.4530000000000001E-3</v>
      </c>
      <c r="D111" s="6">
        <v>1804852</v>
      </c>
      <c r="E111" s="210"/>
      <c r="F111" s="181"/>
    </row>
    <row r="112" spans="1:6" ht="13.8" x14ac:dyDescent="0.25">
      <c r="A112">
        <v>32800</v>
      </c>
      <c r="B112" t="s">
        <v>299</v>
      </c>
      <c r="C112" s="256">
        <v>1.9999000000000002E-3</v>
      </c>
      <c r="D112" s="6">
        <v>2416753</v>
      </c>
      <c r="E112" s="210"/>
      <c r="F112" s="181"/>
    </row>
    <row r="113" spans="1:6" ht="13.8" x14ac:dyDescent="0.25">
      <c r="A113">
        <v>32900</v>
      </c>
      <c r="B113" t="s">
        <v>300</v>
      </c>
      <c r="C113" s="256">
        <v>5.4159000000000004E-3</v>
      </c>
      <c r="D113" s="6">
        <v>6387820</v>
      </c>
      <c r="E113" s="210"/>
      <c r="F113" s="181"/>
    </row>
    <row r="114" spans="1:6" ht="13.8" x14ac:dyDescent="0.25">
      <c r="A114">
        <v>32901</v>
      </c>
      <c r="B114" t="s">
        <v>429</v>
      </c>
      <c r="C114" s="256">
        <v>1.2010000000000001E-4</v>
      </c>
      <c r="D114" s="6">
        <v>117978.42</v>
      </c>
      <c r="E114" s="211"/>
      <c r="F114" s="181"/>
    </row>
    <row r="115" spans="1:6" ht="13.8" x14ac:dyDescent="0.25">
      <c r="A115">
        <v>32904</v>
      </c>
      <c r="B115" t="s">
        <v>487</v>
      </c>
      <c r="C115" s="256">
        <v>5.24E-5</v>
      </c>
      <c r="D115" s="6">
        <v>65938.02</v>
      </c>
      <c r="E115" s="211"/>
      <c r="F115" s="181"/>
    </row>
    <row r="116" spans="1:6" ht="13.8" x14ac:dyDescent="0.25">
      <c r="A116">
        <v>32905</v>
      </c>
      <c r="B116" t="s">
        <v>553</v>
      </c>
      <c r="C116" s="256">
        <v>7.7039999999999997E-4</v>
      </c>
      <c r="D116" s="6">
        <v>932800.5</v>
      </c>
      <c r="E116" s="211"/>
      <c r="F116" s="181"/>
    </row>
    <row r="117" spans="1:6" ht="13.8" x14ac:dyDescent="0.25">
      <c r="A117">
        <v>32910</v>
      </c>
      <c r="B117" t="s">
        <v>301</v>
      </c>
      <c r="C117" s="256">
        <v>1.0122E-3</v>
      </c>
      <c r="D117" s="6">
        <v>1329948</v>
      </c>
      <c r="E117" s="211"/>
      <c r="F117" s="181"/>
    </row>
    <row r="118" spans="1:6" ht="13.8" x14ac:dyDescent="0.25">
      <c r="A118">
        <v>32915</v>
      </c>
      <c r="B118" t="s">
        <v>504</v>
      </c>
      <c r="C118" s="257">
        <v>8.5900000000000001E-5</v>
      </c>
      <c r="D118" s="6">
        <v>97778.31</v>
      </c>
      <c r="E118" s="211"/>
      <c r="F118" s="181"/>
    </row>
    <row r="119" spans="1:6" ht="13.8" x14ac:dyDescent="0.25">
      <c r="A119">
        <v>32920</v>
      </c>
      <c r="B119" t="s">
        <v>302</v>
      </c>
      <c r="C119" s="257">
        <v>8.0880000000000004E-4</v>
      </c>
      <c r="D119" s="6">
        <v>970902.13</v>
      </c>
      <c r="E119" s="211"/>
      <c r="F119" s="181"/>
    </row>
    <row r="120" spans="1:6" ht="13.8" x14ac:dyDescent="0.25">
      <c r="A120">
        <v>33000</v>
      </c>
      <c r="B120" t="s">
        <v>303</v>
      </c>
      <c r="C120" s="257">
        <v>2.0138999999999999E-3</v>
      </c>
      <c r="D120" s="6">
        <v>2371439</v>
      </c>
      <c r="E120" s="211"/>
      <c r="F120" s="181"/>
    </row>
    <row r="121" spans="1:6" ht="13.8" x14ac:dyDescent="0.25">
      <c r="A121">
        <v>33001</v>
      </c>
      <c r="B121" t="s">
        <v>554</v>
      </c>
      <c r="C121" s="257">
        <v>4.8199999999999999E-5</v>
      </c>
      <c r="D121" s="6">
        <v>56865</v>
      </c>
      <c r="E121" s="211"/>
      <c r="F121" s="181"/>
    </row>
    <row r="122" spans="1:6" ht="13.8" x14ac:dyDescent="0.25">
      <c r="A122">
        <v>33027</v>
      </c>
      <c r="B122" t="s">
        <v>304</v>
      </c>
      <c r="C122" s="257">
        <v>3.3970000000000002E-4</v>
      </c>
      <c r="D122" s="6">
        <v>349336.04</v>
      </c>
      <c r="E122" s="211"/>
      <c r="F122" s="181"/>
    </row>
    <row r="123" spans="1:6" ht="13.8" x14ac:dyDescent="0.25">
      <c r="A123">
        <v>33100</v>
      </c>
      <c r="B123" t="s">
        <v>305</v>
      </c>
      <c r="C123" s="257">
        <v>2.7918000000000001E-3</v>
      </c>
      <c r="D123" s="6">
        <v>3449597</v>
      </c>
      <c r="E123" s="210"/>
      <c r="F123" s="181"/>
    </row>
    <row r="124" spans="1:6" ht="13.8" x14ac:dyDescent="0.25">
      <c r="A124">
        <v>33105</v>
      </c>
      <c r="B124" t="s">
        <v>70</v>
      </c>
      <c r="C124" s="256">
        <v>3.4479999999999998E-4</v>
      </c>
      <c r="D124" s="6">
        <v>431206.53</v>
      </c>
      <c r="E124" s="210"/>
      <c r="F124" s="181"/>
    </row>
    <row r="125" spans="1:6" ht="13.8" x14ac:dyDescent="0.25">
      <c r="A125">
        <v>33200</v>
      </c>
      <c r="B125" t="s">
        <v>306</v>
      </c>
      <c r="C125" s="256">
        <v>1.3906E-2</v>
      </c>
      <c r="D125" s="6">
        <v>15185567</v>
      </c>
      <c r="E125" s="210"/>
      <c r="F125" s="181"/>
    </row>
    <row r="126" spans="1:6" ht="13.8" x14ac:dyDescent="0.25">
      <c r="A126">
        <v>33202</v>
      </c>
      <c r="B126" t="s">
        <v>555</v>
      </c>
      <c r="C126" s="256">
        <v>2.6249999999999998E-4</v>
      </c>
      <c r="D126" s="6">
        <v>249469.93</v>
      </c>
      <c r="E126" s="210"/>
      <c r="F126" s="181"/>
    </row>
    <row r="127" spans="1:6" ht="13.8" x14ac:dyDescent="0.25">
      <c r="A127">
        <v>33203</v>
      </c>
      <c r="B127" t="s">
        <v>307</v>
      </c>
      <c r="C127" s="256">
        <v>1.728E-4</v>
      </c>
      <c r="D127" s="6">
        <v>188107</v>
      </c>
      <c r="E127" s="210"/>
      <c r="F127" s="181"/>
    </row>
    <row r="128" spans="1:6" ht="13.8" x14ac:dyDescent="0.25">
      <c r="A128">
        <v>33204</v>
      </c>
      <c r="B128" t="s">
        <v>308</v>
      </c>
      <c r="C128" s="256">
        <v>4.083E-4</v>
      </c>
      <c r="D128" s="6">
        <v>435448.7</v>
      </c>
      <c r="E128" s="210"/>
      <c r="F128" s="181"/>
    </row>
    <row r="129" spans="1:6" ht="13.8" x14ac:dyDescent="0.25">
      <c r="A129">
        <v>33205</v>
      </c>
      <c r="B129" t="s">
        <v>71</v>
      </c>
      <c r="C129" s="256">
        <v>1.1188000000000001E-3</v>
      </c>
      <c r="D129" s="6">
        <v>1405393</v>
      </c>
      <c r="E129" s="210"/>
      <c r="F129" s="181"/>
    </row>
    <row r="130" spans="1:6" ht="13.8" x14ac:dyDescent="0.25">
      <c r="A130">
        <v>33206</v>
      </c>
      <c r="B130" t="s">
        <v>309</v>
      </c>
      <c r="C130" s="257">
        <v>1.167E-4</v>
      </c>
      <c r="D130" s="6">
        <v>134305.91</v>
      </c>
      <c r="E130" s="210"/>
      <c r="F130" s="181"/>
    </row>
    <row r="131" spans="1:6" ht="13.8" x14ac:dyDescent="0.25">
      <c r="A131">
        <v>33207</v>
      </c>
      <c r="B131" t="s">
        <v>310</v>
      </c>
      <c r="C131" s="257">
        <v>5.0330000000000004E-4</v>
      </c>
      <c r="D131" s="6">
        <v>450816</v>
      </c>
      <c r="E131" s="210"/>
      <c r="F131" s="181"/>
    </row>
    <row r="132" spans="1:6" ht="13.8" x14ac:dyDescent="0.25">
      <c r="A132">
        <v>33300</v>
      </c>
      <c r="B132" t="s">
        <v>312</v>
      </c>
      <c r="C132" s="257">
        <v>1.9021999999999999E-3</v>
      </c>
      <c r="D132" s="6">
        <v>2356239</v>
      </c>
      <c r="E132" s="210"/>
      <c r="F132" s="181"/>
    </row>
    <row r="133" spans="1:6" ht="13.8" x14ac:dyDescent="0.25">
      <c r="A133">
        <v>33305</v>
      </c>
      <c r="B133" t="s">
        <v>72</v>
      </c>
      <c r="C133" s="257">
        <v>3.5550000000000002E-4</v>
      </c>
      <c r="D133" s="6">
        <v>509696</v>
      </c>
      <c r="E133" s="210"/>
      <c r="F133" s="181"/>
    </row>
    <row r="134" spans="1:6" ht="13.8" x14ac:dyDescent="0.25">
      <c r="A134">
        <v>33400</v>
      </c>
      <c r="B134" t="s">
        <v>313</v>
      </c>
      <c r="C134" s="257">
        <v>1.82002E-2</v>
      </c>
      <c r="D134" s="6">
        <v>22443278</v>
      </c>
      <c r="E134" s="210"/>
      <c r="F134" s="181"/>
    </row>
    <row r="135" spans="1:6" ht="13.8" x14ac:dyDescent="0.25">
      <c r="A135">
        <v>33402</v>
      </c>
      <c r="B135" t="s">
        <v>314</v>
      </c>
      <c r="C135" s="257">
        <v>1.7139999999999999E-4</v>
      </c>
      <c r="D135" s="6">
        <v>170374.16</v>
      </c>
      <c r="E135" s="210"/>
      <c r="F135" s="181"/>
    </row>
    <row r="136" spans="1:6" ht="13.8" x14ac:dyDescent="0.25">
      <c r="A136">
        <v>33405</v>
      </c>
      <c r="B136" t="s">
        <v>556</v>
      </c>
      <c r="C136" s="256">
        <v>1.6184999999999999E-3</v>
      </c>
      <c r="D136" s="6">
        <v>1951804.94</v>
      </c>
      <c r="E136" s="210"/>
      <c r="F136" s="181"/>
    </row>
    <row r="137" spans="1:6" ht="13.8" x14ac:dyDescent="0.25">
      <c r="A137">
        <v>33500</v>
      </c>
      <c r="B137" t="s">
        <v>315</v>
      </c>
      <c r="C137" s="256">
        <v>2.6600999999999999E-3</v>
      </c>
      <c r="D137" s="6">
        <v>3169365.9</v>
      </c>
      <c r="E137" s="210"/>
      <c r="F137" s="181"/>
    </row>
    <row r="138" spans="1:6" ht="13.8" x14ac:dyDescent="0.25">
      <c r="A138">
        <v>33501</v>
      </c>
      <c r="B138" t="s">
        <v>316</v>
      </c>
      <c r="C138" s="256">
        <v>1.027E-4</v>
      </c>
      <c r="D138" s="6">
        <v>129764</v>
      </c>
      <c r="E138" s="210"/>
      <c r="F138" s="181"/>
    </row>
    <row r="139" spans="1:6" ht="13.8" x14ac:dyDescent="0.25">
      <c r="A139">
        <v>33600</v>
      </c>
      <c r="B139" t="s">
        <v>317</v>
      </c>
      <c r="C139" s="256">
        <v>9.6626000000000004E-3</v>
      </c>
      <c r="D139" s="6">
        <v>8749851</v>
      </c>
      <c r="E139" s="210"/>
      <c r="F139" s="181"/>
    </row>
    <row r="140" spans="1:6" ht="13.8" x14ac:dyDescent="0.25">
      <c r="A140">
        <v>33605</v>
      </c>
      <c r="B140" t="s">
        <v>74</v>
      </c>
      <c r="C140" s="256">
        <v>1.0234E-3</v>
      </c>
      <c r="D140" s="6">
        <v>1472636</v>
      </c>
      <c r="E140" s="210"/>
      <c r="F140" s="181"/>
    </row>
    <row r="141" spans="1:6" ht="13.8" x14ac:dyDescent="0.25">
      <c r="A141">
        <v>33700</v>
      </c>
      <c r="B141" t="s">
        <v>318</v>
      </c>
      <c r="C141" s="256">
        <v>6.7120000000000005E-4</v>
      </c>
      <c r="D141" s="6">
        <v>840309.68</v>
      </c>
      <c r="E141" s="210"/>
      <c r="F141" s="181"/>
    </row>
    <row r="142" spans="1:6" ht="13.8" x14ac:dyDescent="0.25">
      <c r="A142">
        <v>33800</v>
      </c>
      <c r="B142" t="s">
        <v>319</v>
      </c>
      <c r="C142" s="257">
        <v>4.796E-4</v>
      </c>
      <c r="D142" s="6">
        <v>646495</v>
      </c>
      <c r="E142" s="210"/>
      <c r="F142" s="181"/>
    </row>
    <row r="143" spans="1:6" ht="13.8" x14ac:dyDescent="0.25">
      <c r="A143">
        <v>33900</v>
      </c>
      <c r="B143" t="s">
        <v>557</v>
      </c>
      <c r="C143" s="257">
        <v>2.1389999999999998E-3</v>
      </c>
      <c r="D143" s="6">
        <v>2677262.77</v>
      </c>
      <c r="E143" s="210"/>
      <c r="F143" s="181"/>
    </row>
    <row r="144" spans="1:6" ht="13.8" x14ac:dyDescent="0.25">
      <c r="A144">
        <v>34000</v>
      </c>
      <c r="B144" t="s">
        <v>320</v>
      </c>
      <c r="C144" s="257">
        <v>1.0981999999999999E-3</v>
      </c>
      <c r="D144" s="6">
        <v>1362910.4</v>
      </c>
      <c r="E144" s="210"/>
      <c r="F144" s="181"/>
    </row>
    <row r="145" spans="1:6" ht="13.8" x14ac:dyDescent="0.25">
      <c r="A145">
        <v>34100</v>
      </c>
      <c r="B145" t="s">
        <v>321</v>
      </c>
      <c r="C145" s="257">
        <v>2.4095599999999998E-2</v>
      </c>
      <c r="D145" s="6">
        <v>28031025</v>
      </c>
      <c r="E145" s="210"/>
      <c r="F145" s="181"/>
    </row>
    <row r="146" spans="1:6" ht="13.8" x14ac:dyDescent="0.25">
      <c r="A146">
        <v>34105</v>
      </c>
      <c r="B146" t="s">
        <v>75</v>
      </c>
      <c r="C146" s="257">
        <v>1.7853000000000001E-3</v>
      </c>
      <c r="D146" s="6">
        <v>2433540</v>
      </c>
      <c r="E146" s="210"/>
      <c r="F146" s="181"/>
    </row>
    <row r="147" spans="1:6" ht="13.8" x14ac:dyDescent="0.25">
      <c r="A147">
        <v>34200</v>
      </c>
      <c r="B147" t="s">
        <v>322</v>
      </c>
      <c r="C147" s="257">
        <v>7.7059999999999997E-4</v>
      </c>
      <c r="D147" s="6">
        <v>1027372</v>
      </c>
      <c r="E147" s="210"/>
      <c r="F147" s="181"/>
    </row>
    <row r="148" spans="1:6" ht="13.8" x14ac:dyDescent="0.25">
      <c r="A148">
        <v>34205</v>
      </c>
      <c r="B148" t="s">
        <v>76</v>
      </c>
      <c r="C148" s="256">
        <v>3.3060000000000001E-4</v>
      </c>
      <c r="D148" s="6">
        <v>423295</v>
      </c>
      <c r="E148" s="210"/>
      <c r="F148" s="181"/>
    </row>
    <row r="149" spans="1:6" ht="13.8" x14ac:dyDescent="0.25">
      <c r="A149">
        <v>34220</v>
      </c>
      <c r="B149" t="s">
        <v>323</v>
      </c>
      <c r="C149" s="256">
        <v>9.165E-4</v>
      </c>
      <c r="D149" s="6">
        <v>1133917</v>
      </c>
      <c r="E149" s="210"/>
      <c r="F149" s="181"/>
    </row>
    <row r="150" spans="1:6" ht="13.8" x14ac:dyDescent="0.25">
      <c r="A150">
        <v>34230</v>
      </c>
      <c r="B150" t="s">
        <v>324</v>
      </c>
      <c r="C150" s="256">
        <v>2.9270000000000001E-4</v>
      </c>
      <c r="D150" s="6">
        <v>364562</v>
      </c>
      <c r="E150" s="210"/>
      <c r="F150" s="181"/>
    </row>
    <row r="151" spans="1:6" ht="13.8" x14ac:dyDescent="0.25">
      <c r="A151">
        <v>34300</v>
      </c>
      <c r="B151" t="s">
        <v>325</v>
      </c>
      <c r="C151" s="256">
        <v>5.7888999999999996E-3</v>
      </c>
      <c r="D151" s="6">
        <v>6852700</v>
      </c>
      <c r="E151" s="210"/>
      <c r="F151" s="181"/>
    </row>
    <row r="152" spans="1:6" ht="13.8" x14ac:dyDescent="0.25">
      <c r="A152">
        <v>34400</v>
      </c>
      <c r="B152" t="s">
        <v>326</v>
      </c>
      <c r="C152" s="256">
        <v>2.5290999999999998E-3</v>
      </c>
      <c r="D152" s="6">
        <v>2896742</v>
      </c>
      <c r="E152" s="210"/>
      <c r="F152" s="181"/>
    </row>
    <row r="153" spans="1:6" ht="13.8" x14ac:dyDescent="0.25">
      <c r="A153">
        <v>34405</v>
      </c>
      <c r="B153" t="s">
        <v>77</v>
      </c>
      <c r="C153" s="256">
        <v>4.394E-4</v>
      </c>
      <c r="D153" s="6">
        <v>509983</v>
      </c>
      <c r="E153" s="210"/>
      <c r="F153" s="181"/>
    </row>
    <row r="154" spans="1:6" ht="13.8" x14ac:dyDescent="0.25">
      <c r="A154">
        <v>34500</v>
      </c>
      <c r="B154" t="s">
        <v>327</v>
      </c>
      <c r="C154" s="257">
        <v>4.5430999999999996E-3</v>
      </c>
      <c r="D154" s="6">
        <v>5412041</v>
      </c>
      <c r="E154" s="210"/>
      <c r="F154" s="181"/>
    </row>
    <row r="155" spans="1:6" ht="13.8" x14ac:dyDescent="0.25">
      <c r="A155">
        <v>34501</v>
      </c>
      <c r="B155" t="s">
        <v>328</v>
      </c>
      <c r="C155" s="257">
        <v>5.9500000000000003E-5</v>
      </c>
      <c r="D155" s="6">
        <v>65780.89</v>
      </c>
      <c r="E155" s="210"/>
      <c r="F155" s="181"/>
    </row>
    <row r="156" spans="1:6" ht="13.8" x14ac:dyDescent="0.25">
      <c r="A156">
        <v>34505</v>
      </c>
      <c r="B156" t="s">
        <v>78</v>
      </c>
      <c r="C156" s="257">
        <v>5.8589999999999998E-4</v>
      </c>
      <c r="D156" s="6">
        <v>732629</v>
      </c>
      <c r="E156" s="210"/>
      <c r="F156" s="181"/>
    </row>
    <row r="157" spans="1:6" ht="13.8" x14ac:dyDescent="0.25">
      <c r="A157">
        <v>34600</v>
      </c>
      <c r="B157" t="s">
        <v>329</v>
      </c>
      <c r="C157" s="257">
        <v>9.3130000000000003E-4</v>
      </c>
      <c r="D157" s="6">
        <v>1181427</v>
      </c>
      <c r="E157" s="210"/>
      <c r="F157" s="181"/>
    </row>
    <row r="158" spans="1:6" ht="13.8" x14ac:dyDescent="0.25">
      <c r="A158">
        <v>34605</v>
      </c>
      <c r="B158" t="s">
        <v>79</v>
      </c>
      <c r="C158" s="257">
        <v>1.606E-4</v>
      </c>
      <c r="D158" s="6">
        <v>212899</v>
      </c>
      <c r="E158" s="210"/>
      <c r="F158" s="181"/>
    </row>
    <row r="159" spans="1:6" ht="13.8" x14ac:dyDescent="0.25">
      <c r="A159">
        <v>34700</v>
      </c>
      <c r="B159" t="s">
        <v>330</v>
      </c>
      <c r="C159" s="257">
        <v>3.0178000000000002E-3</v>
      </c>
      <c r="D159" s="6">
        <v>3443131.62</v>
      </c>
      <c r="E159" s="210"/>
      <c r="F159" s="181"/>
    </row>
    <row r="160" spans="1:6" ht="13.8" x14ac:dyDescent="0.25">
      <c r="A160">
        <v>34800</v>
      </c>
      <c r="B160" t="s">
        <v>331</v>
      </c>
      <c r="C160" s="256">
        <v>2.9829999999999999E-4</v>
      </c>
      <c r="D160" s="6">
        <v>400621</v>
      </c>
      <c r="E160" s="210"/>
      <c r="F160" s="181"/>
    </row>
    <row r="161" spans="1:6" ht="13.8" x14ac:dyDescent="0.25">
      <c r="A161">
        <v>34900</v>
      </c>
      <c r="B161" t="s">
        <v>558</v>
      </c>
      <c r="C161" s="256">
        <v>6.4175999999999999E-3</v>
      </c>
      <c r="D161" s="6">
        <v>7644817</v>
      </c>
      <c r="E161" s="210"/>
      <c r="F161" s="181"/>
    </row>
    <row r="162" spans="1:6" ht="13.8" x14ac:dyDescent="0.25">
      <c r="A162">
        <v>34901</v>
      </c>
      <c r="B162" t="s">
        <v>559</v>
      </c>
      <c r="C162" s="256">
        <v>1.7369999999999999E-4</v>
      </c>
      <c r="D162" s="6">
        <v>198082.63</v>
      </c>
      <c r="E162" s="210"/>
      <c r="F162" s="181"/>
    </row>
    <row r="163" spans="1:6" ht="13.8" x14ac:dyDescent="0.25">
      <c r="A163">
        <v>34903</v>
      </c>
      <c r="B163" t="s">
        <v>332</v>
      </c>
      <c r="C163" s="256">
        <v>1.3200000000000001E-5</v>
      </c>
      <c r="D163" s="6">
        <v>31751</v>
      </c>
      <c r="E163" s="210"/>
      <c r="F163" s="181"/>
    </row>
    <row r="164" spans="1:6" ht="13.8" x14ac:dyDescent="0.25">
      <c r="A164">
        <v>34905</v>
      </c>
      <c r="B164" t="s">
        <v>80</v>
      </c>
      <c r="C164" s="256">
        <v>5.6930000000000001E-4</v>
      </c>
      <c r="D164" s="6">
        <v>691351.8</v>
      </c>
      <c r="E164" s="210"/>
      <c r="F164" s="181"/>
    </row>
    <row r="165" spans="1:6" ht="13.8" x14ac:dyDescent="0.25">
      <c r="A165">
        <v>34910</v>
      </c>
      <c r="B165" t="s">
        <v>333</v>
      </c>
      <c r="C165" s="256">
        <v>2.0890000000000001E-3</v>
      </c>
      <c r="D165" s="6">
        <v>2333231.46</v>
      </c>
      <c r="E165" s="210"/>
      <c r="F165" s="181"/>
    </row>
    <row r="166" spans="1:6" ht="13.8" x14ac:dyDescent="0.25">
      <c r="A166">
        <v>35000</v>
      </c>
      <c r="B166" t="s">
        <v>334</v>
      </c>
      <c r="C166" s="256">
        <v>1.31E-3</v>
      </c>
      <c r="D166" s="6">
        <v>1580112.75</v>
      </c>
      <c r="E166" s="210"/>
      <c r="F166" s="181"/>
    </row>
    <row r="167" spans="1:6" ht="13.8" x14ac:dyDescent="0.25">
      <c r="A167">
        <v>35005</v>
      </c>
      <c r="B167" t="s">
        <v>81</v>
      </c>
      <c r="C167" s="256">
        <v>5.195E-4</v>
      </c>
      <c r="D167" s="6">
        <v>680566.71</v>
      </c>
      <c r="E167" s="210"/>
      <c r="F167" s="181"/>
    </row>
    <row r="168" spans="1:6" ht="13.8" x14ac:dyDescent="0.25">
      <c r="A168">
        <v>35100</v>
      </c>
      <c r="B168" t="s">
        <v>335</v>
      </c>
      <c r="C168" s="256">
        <v>1.2028199999999999E-2</v>
      </c>
      <c r="D168" s="6">
        <v>13993353</v>
      </c>
      <c r="E168" s="210"/>
      <c r="F168" s="181"/>
    </row>
    <row r="169" spans="1:6" ht="13.8" x14ac:dyDescent="0.25">
      <c r="A169">
        <v>35105</v>
      </c>
      <c r="B169" t="s">
        <v>82</v>
      </c>
      <c r="C169" s="256">
        <v>9.5140000000000003E-4</v>
      </c>
      <c r="D169" s="6">
        <v>1125336</v>
      </c>
      <c r="E169" s="210"/>
      <c r="F169" s="181"/>
    </row>
    <row r="170" spans="1:6" ht="13.8" x14ac:dyDescent="0.25">
      <c r="A170">
        <v>35106</v>
      </c>
      <c r="B170" t="s">
        <v>336</v>
      </c>
      <c r="C170" s="256">
        <v>2.4669999999999998E-4</v>
      </c>
      <c r="D170" s="6">
        <v>249408</v>
      </c>
      <c r="E170" s="210"/>
      <c r="F170" s="181"/>
    </row>
    <row r="171" spans="1:6" ht="13.8" x14ac:dyDescent="0.25">
      <c r="A171">
        <v>35200</v>
      </c>
      <c r="B171" t="s">
        <v>337</v>
      </c>
      <c r="C171" s="256">
        <v>4.6539999999999998E-4</v>
      </c>
      <c r="D171" s="6">
        <v>606390.75</v>
      </c>
      <c r="E171" s="210"/>
      <c r="F171" s="181"/>
    </row>
    <row r="172" spans="1:6" ht="13.8" x14ac:dyDescent="0.25">
      <c r="A172">
        <v>35300</v>
      </c>
      <c r="B172" t="s">
        <v>560</v>
      </c>
      <c r="C172" s="257">
        <v>3.4413999999999998E-3</v>
      </c>
      <c r="D172" s="6">
        <v>4097597.27</v>
      </c>
      <c r="E172" s="210"/>
      <c r="F172" s="181"/>
    </row>
    <row r="173" spans="1:6" ht="13.8" x14ac:dyDescent="0.25">
      <c r="A173">
        <v>35305</v>
      </c>
      <c r="B173" t="s">
        <v>83</v>
      </c>
      <c r="C173" s="257">
        <v>1.3273E-3</v>
      </c>
      <c r="D173" s="6">
        <v>1537170.35</v>
      </c>
      <c r="E173" s="210"/>
      <c r="F173" s="181"/>
    </row>
    <row r="174" spans="1:6" ht="13.8" x14ac:dyDescent="0.25">
      <c r="A174">
        <v>35400</v>
      </c>
      <c r="B174" t="s">
        <v>338</v>
      </c>
      <c r="C174" s="257">
        <v>2.6248E-3</v>
      </c>
      <c r="D174" s="6">
        <v>3301530</v>
      </c>
      <c r="E174" s="210"/>
      <c r="F174" s="181"/>
    </row>
    <row r="175" spans="1:6" ht="13.8" x14ac:dyDescent="0.25">
      <c r="A175">
        <v>35401</v>
      </c>
      <c r="B175" t="s">
        <v>339</v>
      </c>
      <c r="C175" s="257">
        <v>3.8399999999999998E-5</v>
      </c>
      <c r="D175" s="6">
        <v>50178.879999999997</v>
      </c>
      <c r="E175" s="210"/>
      <c r="F175" s="181"/>
    </row>
    <row r="176" spans="1:6" ht="13.8" x14ac:dyDescent="0.25">
      <c r="A176">
        <v>35405</v>
      </c>
      <c r="B176" t="s">
        <v>84</v>
      </c>
      <c r="C176" s="257">
        <v>7.4640000000000004E-4</v>
      </c>
      <c r="D176" s="6">
        <v>887556</v>
      </c>
      <c r="E176" s="210"/>
      <c r="F176" s="181"/>
    </row>
    <row r="177" spans="1:6" ht="13.8" x14ac:dyDescent="0.25">
      <c r="A177">
        <v>35500</v>
      </c>
      <c r="B177" t="s">
        <v>340</v>
      </c>
      <c r="C177" s="257">
        <v>3.5655999999999999E-3</v>
      </c>
      <c r="D177" s="6">
        <v>4345658.79</v>
      </c>
      <c r="E177" s="210"/>
      <c r="F177" s="181"/>
    </row>
    <row r="178" spans="1:6" ht="13.8" x14ac:dyDescent="0.25">
      <c r="A178">
        <v>35600</v>
      </c>
      <c r="B178" t="s">
        <v>341</v>
      </c>
      <c r="C178" s="256">
        <v>1.5697E-3</v>
      </c>
      <c r="D178" s="6">
        <v>1920921</v>
      </c>
      <c r="E178" s="210"/>
      <c r="F178" s="181"/>
    </row>
    <row r="179" spans="1:6" ht="13.8" x14ac:dyDescent="0.25">
      <c r="A179">
        <v>35700</v>
      </c>
      <c r="B179" t="s">
        <v>342</v>
      </c>
      <c r="C179" s="256">
        <v>8.0519999999999995E-4</v>
      </c>
      <c r="D179" s="6">
        <v>1069306</v>
      </c>
      <c r="E179" s="210"/>
      <c r="F179" s="181"/>
    </row>
    <row r="180" spans="1:6" ht="13.8" x14ac:dyDescent="0.25">
      <c r="A180">
        <v>35800</v>
      </c>
      <c r="B180" t="s">
        <v>343</v>
      </c>
      <c r="C180" s="256">
        <v>1.0101000000000001E-3</v>
      </c>
      <c r="D180" s="6">
        <v>1325475.92</v>
      </c>
      <c r="E180" s="210"/>
      <c r="F180" s="181"/>
    </row>
    <row r="181" spans="1:6" ht="13.8" x14ac:dyDescent="0.25">
      <c r="A181">
        <v>35805</v>
      </c>
      <c r="B181" t="s">
        <v>85</v>
      </c>
      <c r="C181" s="256">
        <v>2.12E-4</v>
      </c>
      <c r="D181" s="6">
        <v>292497</v>
      </c>
      <c r="E181" s="210"/>
      <c r="F181" s="181"/>
    </row>
    <row r="182" spans="1:6" ht="13.8" x14ac:dyDescent="0.25">
      <c r="A182">
        <v>35900</v>
      </c>
      <c r="B182" t="s">
        <v>344</v>
      </c>
      <c r="C182" s="256">
        <v>2.0097000000000001E-3</v>
      </c>
      <c r="D182" s="6">
        <v>2511392.36</v>
      </c>
      <c r="E182" s="210"/>
      <c r="F182" s="181"/>
    </row>
    <row r="183" spans="1:6" ht="13.8" x14ac:dyDescent="0.25">
      <c r="A183">
        <v>35905</v>
      </c>
      <c r="B183" t="s">
        <v>86</v>
      </c>
      <c r="C183" s="256">
        <v>2.4350000000000001E-4</v>
      </c>
      <c r="D183" s="6">
        <v>370265.88</v>
      </c>
      <c r="E183" s="210"/>
      <c r="F183" s="181"/>
    </row>
    <row r="184" spans="1:6" ht="13.8" x14ac:dyDescent="0.25">
      <c r="A184">
        <v>36000</v>
      </c>
      <c r="B184" t="s">
        <v>345</v>
      </c>
      <c r="C184" s="257">
        <v>5.4407200000000003E-2</v>
      </c>
      <c r="D184" s="6">
        <v>59334148</v>
      </c>
      <c r="E184" s="210"/>
      <c r="F184" s="181"/>
    </row>
    <row r="185" spans="1:6" ht="13.8" x14ac:dyDescent="0.25">
      <c r="A185">
        <v>36003</v>
      </c>
      <c r="B185" t="s">
        <v>346</v>
      </c>
      <c r="C185" s="257">
        <v>3.8440000000000002E-4</v>
      </c>
      <c r="D185" s="6">
        <v>427087.56</v>
      </c>
      <c r="E185" s="210"/>
      <c r="F185" s="181"/>
    </row>
    <row r="186" spans="1:6" ht="13.8" x14ac:dyDescent="0.25">
      <c r="A186">
        <v>36004</v>
      </c>
      <c r="B186" t="s">
        <v>561</v>
      </c>
      <c r="C186" s="257">
        <v>3.0810000000000001E-4</v>
      </c>
      <c r="D186" s="6">
        <v>319637</v>
      </c>
      <c r="E186" s="210"/>
      <c r="F186" s="181"/>
    </row>
    <row r="187" spans="1:6" ht="13.8" x14ac:dyDescent="0.25">
      <c r="A187">
        <v>36005</v>
      </c>
      <c r="B187" t="s">
        <v>87</v>
      </c>
      <c r="C187" s="257">
        <v>3.7482000000000001E-3</v>
      </c>
      <c r="D187" s="6">
        <v>4443453.7</v>
      </c>
      <c r="E187" s="210"/>
      <c r="F187" s="181"/>
    </row>
    <row r="188" spans="1:6" ht="13.8" x14ac:dyDescent="0.25">
      <c r="A188">
        <v>36006</v>
      </c>
      <c r="B188" t="s">
        <v>347</v>
      </c>
      <c r="C188" s="257">
        <v>6.424E-4</v>
      </c>
      <c r="D188" s="6">
        <v>630308</v>
      </c>
      <c r="E188" s="210"/>
      <c r="F188" s="181"/>
    </row>
    <row r="189" spans="1:6" ht="13.8" x14ac:dyDescent="0.25">
      <c r="A189">
        <v>36007</v>
      </c>
      <c r="B189" t="s">
        <v>348</v>
      </c>
      <c r="C189" s="257">
        <v>2.4039999999999999E-4</v>
      </c>
      <c r="D189" s="6">
        <v>236568</v>
      </c>
      <c r="E189" s="210"/>
      <c r="F189" s="181"/>
    </row>
    <row r="190" spans="1:6" ht="13.8" x14ac:dyDescent="0.25">
      <c r="A190">
        <v>36008</v>
      </c>
      <c r="B190" t="s">
        <v>349</v>
      </c>
      <c r="C190" s="256">
        <v>5.7180000000000002E-4</v>
      </c>
      <c r="D190" s="6">
        <v>563241.59</v>
      </c>
      <c r="E190" s="210"/>
      <c r="F190" s="181"/>
    </row>
    <row r="191" spans="1:6" ht="13.8" x14ac:dyDescent="0.25">
      <c r="A191">
        <v>36009</v>
      </c>
      <c r="B191" t="s">
        <v>350</v>
      </c>
      <c r="C191" s="256">
        <v>8.3100000000000001E-5</v>
      </c>
      <c r="D191" s="6">
        <v>82345</v>
      </c>
      <c r="E191" s="210"/>
      <c r="F191" s="181"/>
    </row>
    <row r="192" spans="1:6" ht="13.8" x14ac:dyDescent="0.25">
      <c r="A192">
        <v>36100</v>
      </c>
      <c r="B192" t="s">
        <v>351</v>
      </c>
      <c r="C192" s="256">
        <v>6.1950000000000004E-4</v>
      </c>
      <c r="D192" s="6">
        <v>796778</v>
      </c>
      <c r="E192" s="210"/>
      <c r="F192" s="181"/>
    </row>
    <row r="193" spans="1:6" ht="13.8" x14ac:dyDescent="0.25">
      <c r="A193">
        <v>36105</v>
      </c>
      <c r="B193" t="s">
        <v>88</v>
      </c>
      <c r="C193" s="256">
        <v>2.7970000000000002E-4</v>
      </c>
      <c r="D193" s="6">
        <v>365615.53</v>
      </c>
      <c r="E193" s="210"/>
      <c r="F193" s="181"/>
    </row>
    <row r="194" spans="1:6" ht="13.8" x14ac:dyDescent="0.25">
      <c r="A194">
        <v>36200</v>
      </c>
      <c r="B194" t="s">
        <v>353</v>
      </c>
      <c r="C194" s="256">
        <v>1.1161000000000001E-3</v>
      </c>
      <c r="D194" s="6">
        <v>1472020</v>
      </c>
      <c r="E194" s="210"/>
      <c r="F194" s="181"/>
    </row>
    <row r="195" spans="1:6" ht="13.8" x14ac:dyDescent="0.25">
      <c r="A195">
        <v>36205</v>
      </c>
      <c r="B195" t="s">
        <v>89</v>
      </c>
      <c r="C195" s="256">
        <v>2.6039999999999999E-4</v>
      </c>
      <c r="D195" s="6">
        <v>292659</v>
      </c>
      <c r="E195" s="210"/>
      <c r="F195" s="181"/>
    </row>
    <row r="196" spans="1:6" ht="13.8" x14ac:dyDescent="0.25">
      <c r="A196">
        <v>36300</v>
      </c>
      <c r="B196" t="s">
        <v>354</v>
      </c>
      <c r="C196" s="257">
        <v>4.1320999999999997E-3</v>
      </c>
      <c r="D196" s="6">
        <v>4945313</v>
      </c>
      <c r="E196" s="210"/>
      <c r="F196" s="181"/>
    </row>
    <row r="197" spans="1:6" ht="13.8" x14ac:dyDescent="0.25">
      <c r="A197">
        <v>36301</v>
      </c>
      <c r="B197" t="s">
        <v>355</v>
      </c>
      <c r="C197" s="257">
        <v>1.1730000000000001E-4</v>
      </c>
      <c r="D197" s="6">
        <v>137224</v>
      </c>
      <c r="E197" s="210"/>
      <c r="F197" s="181"/>
    </row>
    <row r="198" spans="1:6" ht="13.8" x14ac:dyDescent="0.25">
      <c r="A198">
        <v>36302</v>
      </c>
      <c r="B198" t="s">
        <v>356</v>
      </c>
      <c r="C198" s="257">
        <v>1.7919999999999999E-4</v>
      </c>
      <c r="D198" s="6">
        <v>179538</v>
      </c>
      <c r="E198" s="210"/>
      <c r="F198" s="181"/>
    </row>
    <row r="199" spans="1:6" ht="13.8" x14ac:dyDescent="0.25">
      <c r="A199">
        <v>36303</v>
      </c>
      <c r="B199" t="s">
        <v>245</v>
      </c>
      <c r="C199" s="257">
        <v>2.4800000000000001E-4</v>
      </c>
      <c r="D199" s="6">
        <v>228590</v>
      </c>
      <c r="E199" s="210"/>
      <c r="F199" s="181"/>
    </row>
    <row r="200" spans="1:6" ht="13.8" x14ac:dyDescent="0.25">
      <c r="A200">
        <v>36305</v>
      </c>
      <c r="B200" t="s">
        <v>90</v>
      </c>
      <c r="C200" s="257">
        <v>8.2319999999999995E-4</v>
      </c>
      <c r="D200" s="6">
        <v>1102941</v>
      </c>
      <c r="E200" s="210"/>
      <c r="F200" s="181"/>
    </row>
    <row r="201" spans="1:6" ht="13.8" x14ac:dyDescent="0.25">
      <c r="A201">
        <v>36400</v>
      </c>
      <c r="B201" t="s">
        <v>562</v>
      </c>
      <c r="C201" s="257">
        <v>4.4574000000000003E-3</v>
      </c>
      <c r="D201" s="6">
        <v>5707412</v>
      </c>
      <c r="E201" s="210"/>
      <c r="F201" s="181"/>
    </row>
    <row r="202" spans="1:6" ht="13.8" x14ac:dyDescent="0.25">
      <c r="A202">
        <v>36405</v>
      </c>
      <c r="B202" t="s">
        <v>563</v>
      </c>
      <c r="C202" s="256">
        <v>6.4829999999999998E-4</v>
      </c>
      <c r="D202" s="6">
        <v>810472.02</v>
      </c>
      <c r="E202" s="210"/>
      <c r="F202" s="181"/>
    </row>
    <row r="203" spans="1:6" ht="13.8" x14ac:dyDescent="0.25">
      <c r="A203">
        <v>36500</v>
      </c>
      <c r="B203" t="s">
        <v>358</v>
      </c>
      <c r="C203" s="256">
        <v>9.3954999999999993E-3</v>
      </c>
      <c r="D203" s="6">
        <v>11503337</v>
      </c>
      <c r="E203" s="210"/>
      <c r="F203" s="181"/>
    </row>
    <row r="204" spans="1:6" ht="13.8" x14ac:dyDescent="0.25">
      <c r="A204">
        <v>36501</v>
      </c>
      <c r="B204" t="s">
        <v>564</v>
      </c>
      <c r="C204" s="256">
        <v>1.295E-4</v>
      </c>
      <c r="D204" s="6">
        <v>140436</v>
      </c>
      <c r="E204" s="210"/>
      <c r="F204" s="181"/>
    </row>
    <row r="205" spans="1:6" ht="13.8" x14ac:dyDescent="0.25">
      <c r="A205">
        <v>36502</v>
      </c>
      <c r="B205" t="s">
        <v>359</v>
      </c>
      <c r="C205" s="256">
        <v>3.0899999999999999E-5</v>
      </c>
      <c r="D205" s="6">
        <v>29787</v>
      </c>
      <c r="E205" s="210"/>
      <c r="F205" s="181"/>
    </row>
    <row r="206" spans="1:6" ht="13.8" x14ac:dyDescent="0.25">
      <c r="A206">
        <v>36505</v>
      </c>
      <c r="B206" t="s">
        <v>92</v>
      </c>
      <c r="C206" s="256">
        <v>1.7244999999999999E-3</v>
      </c>
      <c r="D206" s="6">
        <v>2152349.96</v>
      </c>
      <c r="E206" s="210"/>
      <c r="F206" s="181"/>
    </row>
    <row r="207" spans="1:6" ht="13.8" x14ac:dyDescent="0.25">
      <c r="A207">
        <v>36600</v>
      </c>
      <c r="B207" t="s">
        <v>360</v>
      </c>
      <c r="C207" s="256">
        <v>5.3649999999999998E-4</v>
      </c>
      <c r="D207" s="6">
        <v>698217</v>
      </c>
      <c r="E207" s="210"/>
      <c r="F207" s="181"/>
    </row>
    <row r="208" spans="1:6" ht="13.8" x14ac:dyDescent="0.25">
      <c r="A208">
        <v>36700</v>
      </c>
      <c r="B208" t="s">
        <v>362</v>
      </c>
      <c r="C208" s="257">
        <v>7.7616999999999998E-3</v>
      </c>
      <c r="D208" s="6">
        <v>9137426</v>
      </c>
      <c r="E208" s="210"/>
      <c r="F208" s="181"/>
    </row>
    <row r="209" spans="1:6" ht="13.8" x14ac:dyDescent="0.25">
      <c r="A209">
        <v>36701</v>
      </c>
      <c r="B209" t="s">
        <v>363</v>
      </c>
      <c r="C209" s="257">
        <v>2.9E-5</v>
      </c>
      <c r="D209" s="6">
        <v>32296</v>
      </c>
      <c r="E209" s="210"/>
      <c r="F209" s="181"/>
    </row>
    <row r="210" spans="1:6" ht="13.8" x14ac:dyDescent="0.25">
      <c r="A210">
        <v>36705</v>
      </c>
      <c r="B210" t="s">
        <v>93</v>
      </c>
      <c r="C210" s="257">
        <v>9.2719999999999999E-4</v>
      </c>
      <c r="D210" s="6">
        <v>1177746.19</v>
      </c>
      <c r="E210" s="210"/>
      <c r="F210" s="181"/>
    </row>
    <row r="211" spans="1:6" ht="13.8" x14ac:dyDescent="0.25">
      <c r="A211">
        <v>36800</v>
      </c>
      <c r="B211" t="s">
        <v>364</v>
      </c>
      <c r="C211" s="257">
        <v>2.9185999999999999E-3</v>
      </c>
      <c r="D211" s="6">
        <v>3493589</v>
      </c>
      <c r="E211" s="210"/>
      <c r="F211" s="181"/>
    </row>
    <row r="212" spans="1:6" ht="13.8" x14ac:dyDescent="0.25">
      <c r="A212">
        <v>36802</v>
      </c>
      <c r="B212" t="s">
        <v>365</v>
      </c>
      <c r="C212" s="257">
        <v>2.4780000000000001E-4</v>
      </c>
      <c r="D212" s="6">
        <v>240912</v>
      </c>
      <c r="E212" s="210"/>
      <c r="F212" s="181"/>
    </row>
    <row r="213" spans="1:6" ht="13.8" x14ac:dyDescent="0.25">
      <c r="A213">
        <v>36810</v>
      </c>
      <c r="B213" t="s">
        <v>565</v>
      </c>
      <c r="C213" s="257">
        <v>5.9696000000000003E-3</v>
      </c>
      <c r="D213" s="6">
        <v>6929511</v>
      </c>
      <c r="E213" s="210"/>
      <c r="F213" s="181"/>
    </row>
    <row r="214" spans="1:6" ht="13.8" x14ac:dyDescent="0.25">
      <c r="A214">
        <v>36900</v>
      </c>
      <c r="B214" t="s">
        <v>366</v>
      </c>
      <c r="C214" s="256">
        <v>5.8040000000000001E-4</v>
      </c>
      <c r="D214" s="6">
        <v>720934.69</v>
      </c>
      <c r="E214" s="210"/>
      <c r="F214" s="181"/>
    </row>
    <row r="215" spans="1:6" ht="13.8" x14ac:dyDescent="0.25">
      <c r="A215">
        <v>36901</v>
      </c>
      <c r="B215" t="s">
        <v>367</v>
      </c>
      <c r="C215" s="256">
        <v>1.8780000000000001E-4</v>
      </c>
      <c r="D215" s="6">
        <v>253722</v>
      </c>
      <c r="E215" s="210"/>
      <c r="F215" s="181"/>
    </row>
    <row r="216" spans="1:6" ht="13.8" x14ac:dyDescent="0.25">
      <c r="A216">
        <v>36905</v>
      </c>
      <c r="B216" t="s">
        <v>94</v>
      </c>
      <c r="C216" s="256">
        <v>1.841E-4</v>
      </c>
      <c r="D216" s="6">
        <v>236634.91</v>
      </c>
      <c r="E216" s="210"/>
      <c r="F216" s="181"/>
    </row>
    <row r="217" spans="1:6" ht="13.8" x14ac:dyDescent="0.25">
      <c r="A217">
        <v>37000</v>
      </c>
      <c r="B217" t="s">
        <v>368</v>
      </c>
      <c r="C217" s="256">
        <v>1.6276000000000001E-3</v>
      </c>
      <c r="D217" s="6">
        <v>1970077.33</v>
      </c>
      <c r="E217" s="210"/>
      <c r="F217" s="181"/>
    </row>
    <row r="218" spans="1:6" ht="13.8" x14ac:dyDescent="0.25">
      <c r="A218">
        <v>37001</v>
      </c>
      <c r="B218" t="s">
        <v>566</v>
      </c>
      <c r="C218" s="256">
        <v>1.8679999999999999E-4</v>
      </c>
      <c r="D218" s="6">
        <v>211452.69</v>
      </c>
      <c r="E218" s="210"/>
      <c r="F218" s="181"/>
    </row>
    <row r="219" spans="1:6" ht="13.8" x14ac:dyDescent="0.25">
      <c r="A219">
        <v>37005</v>
      </c>
      <c r="B219" t="s">
        <v>95</v>
      </c>
      <c r="C219" s="256">
        <v>4.8440000000000001E-4</v>
      </c>
      <c r="D219" s="6">
        <v>647780.86</v>
      </c>
      <c r="E219" s="210"/>
      <c r="F219" s="181"/>
    </row>
    <row r="220" spans="1:6" ht="13.8" x14ac:dyDescent="0.25">
      <c r="A220">
        <v>37100</v>
      </c>
      <c r="B220" t="s">
        <v>369</v>
      </c>
      <c r="C220" s="256">
        <v>3.0389000000000002E-3</v>
      </c>
      <c r="D220" s="6">
        <v>3631165</v>
      </c>
      <c r="E220" s="210"/>
      <c r="F220" s="181"/>
    </row>
    <row r="221" spans="1:6" ht="16.05" customHeight="1" x14ac:dyDescent="0.25">
      <c r="A221">
        <v>37200</v>
      </c>
      <c r="B221" t="s">
        <v>370</v>
      </c>
      <c r="C221" s="256">
        <v>6.0409999999999999E-4</v>
      </c>
      <c r="D221" s="6">
        <v>779325.45</v>
      </c>
      <c r="E221" s="210"/>
      <c r="F221" s="181"/>
    </row>
    <row r="222" spans="1:6" ht="13.8" x14ac:dyDescent="0.25">
      <c r="A222">
        <v>37300</v>
      </c>
      <c r="B222" t="s">
        <v>371</v>
      </c>
      <c r="C222" s="256">
        <v>1.5529000000000001E-3</v>
      </c>
      <c r="D222" s="6">
        <v>1898678.28</v>
      </c>
      <c r="E222" s="210"/>
      <c r="F222" s="181"/>
    </row>
    <row r="223" spans="1:6" ht="13.8" x14ac:dyDescent="0.25">
      <c r="A223">
        <v>37301</v>
      </c>
      <c r="B223" t="s">
        <v>372</v>
      </c>
      <c r="C223" s="256">
        <v>1.7780000000000001E-4</v>
      </c>
      <c r="D223" s="6">
        <v>205290.77</v>
      </c>
      <c r="E223" s="210"/>
      <c r="F223" s="181"/>
    </row>
    <row r="224" spans="1:6" ht="13.8" x14ac:dyDescent="0.25">
      <c r="A224">
        <v>37305</v>
      </c>
      <c r="B224" t="s">
        <v>96</v>
      </c>
      <c r="C224" s="256">
        <v>3.6620000000000001E-4</v>
      </c>
      <c r="D224" s="6">
        <v>515369.85</v>
      </c>
      <c r="E224" s="210"/>
      <c r="F224" s="181"/>
    </row>
    <row r="225" spans="1:6" ht="13.8" x14ac:dyDescent="0.25">
      <c r="A225">
        <v>37400</v>
      </c>
      <c r="B225" t="s">
        <v>373</v>
      </c>
      <c r="C225" s="256">
        <v>8.2602000000000005E-3</v>
      </c>
      <c r="D225" s="6">
        <v>9325808</v>
      </c>
      <c r="E225" s="210"/>
      <c r="F225" s="181"/>
    </row>
    <row r="226" spans="1:6" ht="13.8" x14ac:dyDescent="0.25">
      <c r="A226">
        <v>37405</v>
      </c>
      <c r="B226" t="s">
        <v>97</v>
      </c>
      <c r="C226" s="257">
        <v>1.5510000000000001E-3</v>
      </c>
      <c r="D226" s="6">
        <v>1923404.75</v>
      </c>
      <c r="E226" s="210"/>
      <c r="F226" s="181"/>
    </row>
    <row r="227" spans="1:6" ht="13.8" x14ac:dyDescent="0.25">
      <c r="A227">
        <v>37500</v>
      </c>
      <c r="B227" t="s">
        <v>374</v>
      </c>
      <c r="C227" s="257">
        <v>8.2919999999999999E-4</v>
      </c>
      <c r="D227" s="6">
        <v>1078083</v>
      </c>
      <c r="E227" s="210"/>
      <c r="F227" s="181"/>
    </row>
    <row r="228" spans="1:6" ht="13.8" x14ac:dyDescent="0.25">
      <c r="A228">
        <v>37600</v>
      </c>
      <c r="B228" t="s">
        <v>375</v>
      </c>
      <c r="C228" s="257">
        <v>4.9382999999999996E-3</v>
      </c>
      <c r="D228" s="6">
        <v>5816353</v>
      </c>
      <c r="E228" s="210"/>
      <c r="F228" s="181"/>
    </row>
    <row r="229" spans="1:6" ht="13.8" x14ac:dyDescent="0.25">
      <c r="A229">
        <v>37601</v>
      </c>
      <c r="B229" t="s">
        <v>376</v>
      </c>
      <c r="C229" s="257">
        <v>5.3209999999999998E-4</v>
      </c>
      <c r="D229" s="6">
        <v>466720</v>
      </c>
      <c r="E229" s="210"/>
      <c r="F229" s="181"/>
    </row>
    <row r="230" spans="1:6" ht="13.8" x14ac:dyDescent="0.25">
      <c r="A230">
        <v>37605</v>
      </c>
      <c r="B230" t="s">
        <v>98</v>
      </c>
      <c r="C230" s="257">
        <v>6.1499999999999999E-4</v>
      </c>
      <c r="D230" s="6">
        <v>763367.97</v>
      </c>
      <c r="E230" s="210"/>
      <c r="F230" s="181"/>
    </row>
    <row r="231" spans="1:6" ht="13.8" x14ac:dyDescent="0.25">
      <c r="A231">
        <v>37610</v>
      </c>
      <c r="B231" t="s">
        <v>377</v>
      </c>
      <c r="C231" s="257">
        <v>1.5671000000000001E-3</v>
      </c>
      <c r="D231" s="6">
        <v>1719098.72</v>
      </c>
      <c r="E231" s="210"/>
      <c r="F231" s="181"/>
    </row>
    <row r="232" spans="1:6" ht="13.8" x14ac:dyDescent="0.25">
      <c r="A232">
        <v>37700</v>
      </c>
      <c r="B232" t="s">
        <v>378</v>
      </c>
      <c r="C232" s="256">
        <v>2.1524999999999999E-3</v>
      </c>
      <c r="D232" s="6">
        <v>2729043</v>
      </c>
      <c r="E232" s="210"/>
      <c r="F232" s="181"/>
    </row>
    <row r="233" spans="1:6" ht="13.8" x14ac:dyDescent="0.25">
      <c r="A233">
        <v>37705</v>
      </c>
      <c r="B233" t="s">
        <v>99</v>
      </c>
      <c r="C233" s="256">
        <v>6.1050000000000004E-4</v>
      </c>
      <c r="D233" s="6">
        <v>831374</v>
      </c>
      <c r="E233" s="210"/>
      <c r="F233" s="181"/>
    </row>
    <row r="234" spans="1:6" ht="13.8" x14ac:dyDescent="0.25">
      <c r="A234">
        <v>37800</v>
      </c>
      <c r="B234" t="s">
        <v>379</v>
      </c>
      <c r="C234" s="256">
        <v>6.7313E-3</v>
      </c>
      <c r="D234" s="6">
        <v>8636048</v>
      </c>
      <c r="E234" s="210"/>
      <c r="F234" s="181"/>
    </row>
    <row r="235" spans="1:6" ht="13.8" x14ac:dyDescent="0.25">
      <c r="A235">
        <v>37801</v>
      </c>
      <c r="B235" t="s">
        <v>380</v>
      </c>
      <c r="C235" s="256">
        <v>6.69E-5</v>
      </c>
      <c r="D235" s="6">
        <v>59396.14</v>
      </c>
      <c r="E235" s="210"/>
      <c r="F235" s="181"/>
    </row>
    <row r="236" spans="1:6" ht="13.8" x14ac:dyDescent="0.25">
      <c r="A236">
        <v>37805</v>
      </c>
      <c r="B236" t="s">
        <v>100</v>
      </c>
      <c r="C236" s="256">
        <v>5.3189999999999997E-4</v>
      </c>
      <c r="D236" s="6">
        <v>670798.27</v>
      </c>
      <c r="E236" s="210"/>
      <c r="F236" s="181"/>
    </row>
    <row r="237" spans="1:6" ht="13.8" x14ac:dyDescent="0.25">
      <c r="A237">
        <v>37900</v>
      </c>
      <c r="B237" t="s">
        <v>381</v>
      </c>
      <c r="C237" s="256">
        <v>3.6159999999999999E-3</v>
      </c>
      <c r="D237" s="6">
        <v>4422717</v>
      </c>
      <c r="E237" s="210"/>
      <c r="F237" s="181"/>
    </row>
    <row r="238" spans="1:6" ht="13.8" x14ac:dyDescent="0.25">
      <c r="A238">
        <v>37901</v>
      </c>
      <c r="B238" t="s">
        <v>382</v>
      </c>
      <c r="C238" s="257">
        <v>1.183E-4</v>
      </c>
      <c r="D238" s="6">
        <v>133690</v>
      </c>
      <c r="E238" s="210"/>
      <c r="F238" s="181"/>
    </row>
    <row r="239" spans="1:6" ht="13.8" x14ac:dyDescent="0.25">
      <c r="A239">
        <v>37905</v>
      </c>
      <c r="B239" t="s">
        <v>101</v>
      </c>
      <c r="C239" s="257">
        <v>3.991E-4</v>
      </c>
      <c r="D239" s="6">
        <v>516435</v>
      </c>
      <c r="E239" s="210"/>
      <c r="F239" s="181"/>
    </row>
    <row r="240" spans="1:6" ht="13.8" x14ac:dyDescent="0.25">
      <c r="A240">
        <v>38000</v>
      </c>
      <c r="B240" t="s">
        <v>383</v>
      </c>
      <c r="C240" s="257">
        <v>6.0266E-3</v>
      </c>
      <c r="D240" s="6">
        <v>6524973</v>
      </c>
      <c r="E240" s="210"/>
      <c r="F240" s="181"/>
    </row>
    <row r="241" spans="1:6" ht="13.8" x14ac:dyDescent="0.25">
      <c r="A241">
        <v>38005</v>
      </c>
      <c r="B241" t="s">
        <v>102</v>
      </c>
      <c r="C241" s="257">
        <v>1.2712000000000001E-3</v>
      </c>
      <c r="D241" s="6">
        <v>1524168.6</v>
      </c>
      <c r="E241" s="210"/>
      <c r="F241" s="181"/>
    </row>
    <row r="242" spans="1:6" ht="13.8" x14ac:dyDescent="0.25">
      <c r="A242">
        <v>38100</v>
      </c>
      <c r="B242" t="s">
        <v>384</v>
      </c>
      <c r="C242" s="257">
        <v>2.6434000000000002E-3</v>
      </c>
      <c r="D242" s="6">
        <v>3313865</v>
      </c>
      <c r="E242" s="210"/>
      <c r="F242" s="181"/>
    </row>
    <row r="243" spans="1:6" ht="13.8" x14ac:dyDescent="0.25">
      <c r="A243">
        <v>38105</v>
      </c>
      <c r="B243" t="s">
        <v>103</v>
      </c>
      <c r="C243" s="257">
        <v>5.0819999999999999E-4</v>
      </c>
      <c r="D243" s="6">
        <v>626866</v>
      </c>
      <c r="E243" s="210"/>
      <c r="F243" s="181"/>
    </row>
    <row r="244" spans="1:6" ht="13.8" x14ac:dyDescent="0.25">
      <c r="A244">
        <v>38200</v>
      </c>
      <c r="B244" t="s">
        <v>385</v>
      </c>
      <c r="C244" s="256">
        <v>2.5834E-3</v>
      </c>
      <c r="D244" s="6">
        <v>3223415.17</v>
      </c>
      <c r="E244" s="210"/>
      <c r="F244" s="181"/>
    </row>
    <row r="245" spans="1:6" ht="13.8" x14ac:dyDescent="0.25">
      <c r="A245">
        <v>38205</v>
      </c>
      <c r="B245" t="s">
        <v>104</v>
      </c>
      <c r="C245" s="256">
        <v>3.7090000000000002E-4</v>
      </c>
      <c r="D245" s="6">
        <v>466405</v>
      </c>
      <c r="E245" s="210"/>
      <c r="F245" s="181"/>
    </row>
    <row r="246" spans="1:6" ht="13.8" x14ac:dyDescent="0.25">
      <c r="A246">
        <v>38210</v>
      </c>
      <c r="B246" t="s">
        <v>386</v>
      </c>
      <c r="C246" s="256">
        <v>1.01E-3</v>
      </c>
      <c r="D246" s="6">
        <v>1272275.68</v>
      </c>
      <c r="E246" s="210"/>
      <c r="F246" s="181"/>
    </row>
    <row r="247" spans="1:6" ht="13.8" x14ac:dyDescent="0.25">
      <c r="A247">
        <v>38300</v>
      </c>
      <c r="B247" t="s">
        <v>387</v>
      </c>
      <c r="C247" s="256">
        <v>2.0195999999999999E-3</v>
      </c>
      <c r="D247" s="6">
        <v>2525385.37</v>
      </c>
      <c r="E247" s="210"/>
      <c r="F247" s="181"/>
    </row>
    <row r="248" spans="1:6" ht="13.8" x14ac:dyDescent="0.25">
      <c r="A248">
        <v>38400</v>
      </c>
      <c r="B248" t="s">
        <v>388</v>
      </c>
      <c r="C248" s="256">
        <v>2.5428E-3</v>
      </c>
      <c r="D248" s="6">
        <v>3106609.88</v>
      </c>
      <c r="E248" s="210"/>
      <c r="F248" s="181"/>
    </row>
    <row r="249" spans="1:6" ht="13.8" x14ac:dyDescent="0.25">
      <c r="A249">
        <v>38402</v>
      </c>
      <c r="B249" t="s">
        <v>389</v>
      </c>
      <c r="C249" s="256">
        <v>1.875E-4</v>
      </c>
      <c r="D249" s="6">
        <v>192574</v>
      </c>
      <c r="E249" s="210"/>
      <c r="F249" s="181"/>
    </row>
    <row r="250" spans="1:6" ht="13.8" x14ac:dyDescent="0.25">
      <c r="A250">
        <v>38405</v>
      </c>
      <c r="B250" t="s">
        <v>105</v>
      </c>
      <c r="C250" s="257">
        <v>6.0459999999999995E-4</v>
      </c>
      <c r="D250" s="6">
        <v>721022</v>
      </c>
      <c r="E250" s="210"/>
      <c r="F250" s="181"/>
    </row>
    <row r="251" spans="1:6" ht="13.8" x14ac:dyDescent="0.25">
      <c r="A251">
        <v>38500</v>
      </c>
      <c r="B251" t="s">
        <v>390</v>
      </c>
      <c r="C251" s="257">
        <v>1.9970000000000001E-3</v>
      </c>
      <c r="D251" s="6">
        <v>2469112.71</v>
      </c>
      <c r="E251" s="210"/>
      <c r="F251" s="181"/>
    </row>
    <row r="252" spans="1:6" ht="13.8" x14ac:dyDescent="0.25">
      <c r="A252">
        <v>38600</v>
      </c>
      <c r="B252" t="s">
        <v>391</v>
      </c>
      <c r="C252" s="257">
        <v>2.4551E-3</v>
      </c>
      <c r="D252" s="6">
        <v>3051263</v>
      </c>
      <c r="E252" s="210"/>
      <c r="F252" s="181"/>
    </row>
    <row r="253" spans="1:6" ht="13.8" x14ac:dyDescent="0.25">
      <c r="A253">
        <v>38602</v>
      </c>
      <c r="B253" t="s">
        <v>393</v>
      </c>
      <c r="C253" s="257">
        <v>2.1770000000000001E-4</v>
      </c>
      <c r="D253" s="6">
        <v>234257</v>
      </c>
      <c r="E253" s="210"/>
      <c r="F253" s="181"/>
    </row>
    <row r="254" spans="1:6" ht="13.8" x14ac:dyDescent="0.25">
      <c r="A254">
        <v>38605</v>
      </c>
      <c r="B254" t="s">
        <v>106</v>
      </c>
      <c r="C254" s="257">
        <v>6.3259999999999998E-4</v>
      </c>
      <c r="D254" s="6">
        <v>789246</v>
      </c>
      <c r="E254" s="210"/>
      <c r="F254" s="181"/>
    </row>
    <row r="255" spans="1:6" ht="13.8" x14ac:dyDescent="0.25">
      <c r="A255">
        <v>38610</v>
      </c>
      <c r="B255" t="s">
        <v>394</v>
      </c>
      <c r="C255" s="257">
        <v>5.8909999999999995E-4</v>
      </c>
      <c r="D255" s="6">
        <v>735457</v>
      </c>
      <c r="E255" s="210"/>
      <c r="F255" s="181"/>
    </row>
    <row r="256" spans="1:6" ht="13.8" x14ac:dyDescent="0.25">
      <c r="A256">
        <v>38620</v>
      </c>
      <c r="B256" t="s">
        <v>395</v>
      </c>
      <c r="C256" s="256">
        <v>4.3459999999999999E-4</v>
      </c>
      <c r="D256" s="6">
        <v>650846</v>
      </c>
      <c r="E256" s="210"/>
      <c r="F256" s="181"/>
    </row>
    <row r="257" spans="1:6" ht="13.8" x14ac:dyDescent="0.25">
      <c r="A257">
        <v>38700</v>
      </c>
      <c r="B257" t="s">
        <v>396</v>
      </c>
      <c r="C257" s="256">
        <v>7.6909999999999999E-4</v>
      </c>
      <c r="D257" s="6">
        <v>911588</v>
      </c>
      <c r="E257" s="210"/>
      <c r="F257" s="181"/>
    </row>
    <row r="258" spans="1:6" ht="13.8" x14ac:dyDescent="0.25">
      <c r="A258">
        <v>38701</v>
      </c>
      <c r="B258" t="s">
        <v>567</v>
      </c>
      <c r="C258" s="256">
        <v>5.6400000000000002E-5</v>
      </c>
      <c r="D258" s="6">
        <v>62617</v>
      </c>
      <c r="E258" s="210"/>
      <c r="F258" s="181"/>
    </row>
    <row r="259" spans="1:6" ht="13.8" x14ac:dyDescent="0.25">
      <c r="A259">
        <v>38800</v>
      </c>
      <c r="B259" t="s">
        <v>397</v>
      </c>
      <c r="C259" s="256">
        <v>1.3651E-3</v>
      </c>
      <c r="D259" s="6">
        <v>1623311</v>
      </c>
      <c r="E259" s="210"/>
      <c r="F259" s="181"/>
    </row>
    <row r="260" spans="1:6" ht="13.8" x14ac:dyDescent="0.25">
      <c r="A260">
        <v>38801</v>
      </c>
      <c r="B260" t="s">
        <v>398</v>
      </c>
      <c r="C260" s="256">
        <v>1.3100000000000001E-4</v>
      </c>
      <c r="D260" s="6">
        <v>136380</v>
      </c>
      <c r="E260" s="210"/>
      <c r="F260" s="181"/>
    </row>
    <row r="261" spans="1:6" ht="13.8" x14ac:dyDescent="0.25">
      <c r="A261">
        <v>38900</v>
      </c>
      <c r="B261" t="s">
        <v>399</v>
      </c>
      <c r="C261" s="256">
        <v>2.9530000000000002E-4</v>
      </c>
      <c r="D261" s="6">
        <v>367801.74</v>
      </c>
      <c r="E261" s="210"/>
      <c r="F261" s="181"/>
    </row>
    <row r="262" spans="1:6" ht="13.8" x14ac:dyDescent="0.25">
      <c r="A262">
        <v>39000</v>
      </c>
      <c r="B262" t="s">
        <v>400</v>
      </c>
      <c r="C262" s="257">
        <v>1.3174099999999999E-2</v>
      </c>
      <c r="D262" s="6">
        <v>15774433</v>
      </c>
      <c r="E262" s="210"/>
      <c r="F262" s="181"/>
    </row>
    <row r="263" spans="1:6" ht="13.8" x14ac:dyDescent="0.25">
      <c r="A263">
        <v>39100</v>
      </c>
      <c r="B263" t="s">
        <v>401</v>
      </c>
      <c r="C263" s="257">
        <v>1.4398E-3</v>
      </c>
      <c r="D263" s="6">
        <v>1942463</v>
      </c>
      <c r="E263" s="210"/>
      <c r="F263" s="181"/>
    </row>
    <row r="264" spans="1:6" ht="13.8" x14ac:dyDescent="0.25">
      <c r="A264">
        <v>39101</v>
      </c>
      <c r="B264" t="s">
        <v>402</v>
      </c>
      <c r="C264" s="257">
        <v>2.5460000000000001E-4</v>
      </c>
      <c r="D264" s="6">
        <v>285745</v>
      </c>
      <c r="E264" s="210"/>
      <c r="F264" s="181"/>
    </row>
    <row r="265" spans="1:6" ht="13.8" x14ac:dyDescent="0.25">
      <c r="A265">
        <v>39105</v>
      </c>
      <c r="B265" t="s">
        <v>107</v>
      </c>
      <c r="C265" s="257">
        <v>5.7339999999999995E-4</v>
      </c>
      <c r="D265" s="6">
        <v>703538</v>
      </c>
      <c r="E265" s="210"/>
      <c r="F265" s="181"/>
    </row>
    <row r="266" spans="1:6" ht="13.8" x14ac:dyDescent="0.25">
      <c r="A266">
        <v>39200</v>
      </c>
      <c r="B266" t="s">
        <v>568</v>
      </c>
      <c r="C266" s="257">
        <v>5.7178899999999998E-2</v>
      </c>
      <c r="D266" s="6">
        <v>66053337</v>
      </c>
      <c r="E266" s="210"/>
      <c r="F266" s="181"/>
    </row>
    <row r="267" spans="1:6" ht="13.8" x14ac:dyDescent="0.25">
      <c r="A267">
        <v>39201</v>
      </c>
      <c r="B267" t="s">
        <v>403</v>
      </c>
      <c r="C267" s="257">
        <v>2.0570000000000001E-4</v>
      </c>
      <c r="D267" s="6">
        <v>232479</v>
      </c>
      <c r="E267" s="210"/>
      <c r="F267" s="181"/>
    </row>
    <row r="268" spans="1:6" ht="13.8" x14ac:dyDescent="0.25">
      <c r="A268">
        <v>39204</v>
      </c>
      <c r="B268" t="s">
        <v>404</v>
      </c>
      <c r="C268" s="256">
        <v>2.2550000000000001E-4</v>
      </c>
      <c r="D268" s="6">
        <v>256311</v>
      </c>
      <c r="E268" s="210"/>
      <c r="F268" s="181"/>
    </row>
    <row r="269" spans="1:6" ht="13.8" x14ac:dyDescent="0.25">
      <c r="A269">
        <v>39205</v>
      </c>
      <c r="B269" t="s">
        <v>108</v>
      </c>
      <c r="C269" s="256">
        <v>4.8474E-3</v>
      </c>
      <c r="D269" s="6">
        <v>5785713</v>
      </c>
      <c r="E269" s="210"/>
      <c r="F269" s="181"/>
    </row>
    <row r="270" spans="1:6" ht="13.8" x14ac:dyDescent="0.25">
      <c r="A270">
        <v>39208</v>
      </c>
      <c r="B270" t="s">
        <v>569</v>
      </c>
      <c r="C270" s="256">
        <v>3.545E-4</v>
      </c>
      <c r="D270" s="6">
        <v>369510.48</v>
      </c>
      <c r="E270" s="210"/>
      <c r="F270" s="181"/>
    </row>
    <row r="271" spans="1:6" ht="15.6" x14ac:dyDescent="0.3">
      <c r="A271">
        <v>39209</v>
      </c>
      <c r="B271" t="s">
        <v>405</v>
      </c>
      <c r="C271" s="229"/>
      <c r="D271" s="6">
        <v>37184</v>
      </c>
      <c r="E271" s="255" t="s">
        <v>890</v>
      </c>
      <c r="F271" s="181"/>
    </row>
    <row r="272" spans="1:6" ht="13.8" x14ac:dyDescent="0.25">
      <c r="A272">
        <v>39220</v>
      </c>
      <c r="B272" t="s">
        <v>430</v>
      </c>
      <c r="C272" s="256">
        <v>5.4200000000000003E-5</v>
      </c>
      <c r="D272" s="6">
        <v>73102</v>
      </c>
      <c r="E272" s="210"/>
      <c r="F272" s="181"/>
    </row>
    <row r="273" spans="1:6" ht="13.8" x14ac:dyDescent="0.25">
      <c r="A273">
        <v>39300</v>
      </c>
      <c r="B273" t="s">
        <v>406</v>
      </c>
      <c r="C273" s="256">
        <v>5.7479999999999999E-4</v>
      </c>
      <c r="D273" s="6">
        <v>784044</v>
      </c>
      <c r="E273" s="210"/>
      <c r="F273" s="181"/>
    </row>
    <row r="274" spans="1:6" ht="13.8" x14ac:dyDescent="0.25">
      <c r="A274">
        <v>39301</v>
      </c>
      <c r="B274" t="s">
        <v>407</v>
      </c>
      <c r="C274" s="256">
        <v>3.4400000000000003E-5</v>
      </c>
      <c r="D274" s="6">
        <v>49700.26</v>
      </c>
      <c r="E274" s="210"/>
      <c r="F274" s="181"/>
    </row>
    <row r="275" spans="1:6" ht="13.8" x14ac:dyDescent="0.25">
      <c r="A275">
        <v>39400</v>
      </c>
      <c r="B275" t="s">
        <v>408</v>
      </c>
      <c r="C275" s="256">
        <v>3.5659999999999999E-4</v>
      </c>
      <c r="D275" s="6">
        <v>521125.04</v>
      </c>
      <c r="E275" s="210"/>
      <c r="F275" s="181"/>
    </row>
    <row r="276" spans="1:6" ht="13.8" x14ac:dyDescent="0.25">
      <c r="A276">
        <v>39401</v>
      </c>
      <c r="B276" t="s">
        <v>409</v>
      </c>
      <c r="C276" s="256">
        <v>4.4010000000000002E-4</v>
      </c>
      <c r="D276" s="6">
        <v>406500.63</v>
      </c>
      <c r="E276" s="210"/>
      <c r="F276" s="181"/>
    </row>
    <row r="277" spans="1:6" ht="13.8" x14ac:dyDescent="0.25">
      <c r="A277">
        <v>39500</v>
      </c>
      <c r="B277" t="s">
        <v>410</v>
      </c>
      <c r="C277" s="256">
        <v>2.0075000000000002E-3</v>
      </c>
      <c r="D277" s="6">
        <v>2262634.91</v>
      </c>
      <c r="E277" s="210"/>
      <c r="F277" s="181"/>
    </row>
    <row r="278" spans="1:6" ht="13.8" x14ac:dyDescent="0.25">
      <c r="A278">
        <v>39501</v>
      </c>
      <c r="B278" t="s">
        <v>570</v>
      </c>
      <c r="C278" s="256">
        <v>4.88E-5</v>
      </c>
      <c r="D278" s="6">
        <v>77778.52</v>
      </c>
      <c r="E278" s="210"/>
      <c r="F278" s="181"/>
    </row>
    <row r="279" spans="1:6" ht="13.8" x14ac:dyDescent="0.25">
      <c r="A279">
        <v>39600</v>
      </c>
      <c r="B279" t="s">
        <v>411</v>
      </c>
      <c r="C279" s="256">
        <v>5.0745E-3</v>
      </c>
      <c r="D279" s="6">
        <v>6685891</v>
      </c>
      <c r="E279" s="210"/>
      <c r="F279" s="181"/>
    </row>
    <row r="280" spans="1:6" ht="13.8" x14ac:dyDescent="0.25">
      <c r="A280">
        <v>39605</v>
      </c>
      <c r="B280" t="s">
        <v>109</v>
      </c>
      <c r="C280" s="256">
        <v>8.1430000000000001E-4</v>
      </c>
      <c r="D280" s="6">
        <v>949598.68</v>
      </c>
      <c r="E280" s="210"/>
      <c r="F280" s="181"/>
    </row>
    <row r="281" spans="1:6" ht="13.8" x14ac:dyDescent="0.25">
      <c r="A281">
        <v>39700</v>
      </c>
      <c r="B281" t="s">
        <v>412</v>
      </c>
      <c r="C281" s="257">
        <v>3.0211000000000001E-3</v>
      </c>
      <c r="D281" s="6">
        <v>3564734.03</v>
      </c>
      <c r="E281" s="210"/>
      <c r="F281" s="181"/>
    </row>
    <row r="282" spans="1:6" ht="13.8" x14ac:dyDescent="0.25">
      <c r="A282">
        <v>39703</v>
      </c>
      <c r="B282" t="s">
        <v>413</v>
      </c>
      <c r="C282" s="257">
        <v>2.142E-4</v>
      </c>
      <c r="D282" s="6">
        <v>225776.31</v>
      </c>
      <c r="E282" s="210"/>
      <c r="F282" s="181"/>
    </row>
    <row r="283" spans="1:6" ht="13.8" x14ac:dyDescent="0.25">
      <c r="A283">
        <v>39705</v>
      </c>
      <c r="B283" t="s">
        <v>110</v>
      </c>
      <c r="C283" s="257">
        <v>7.7079999999999998E-4</v>
      </c>
      <c r="D283" s="6">
        <v>962581</v>
      </c>
      <c r="E283" s="210"/>
      <c r="F283" s="181"/>
    </row>
    <row r="284" spans="1:6" ht="13.8" x14ac:dyDescent="0.25">
      <c r="A284">
        <v>39800</v>
      </c>
      <c r="B284" t="s">
        <v>414</v>
      </c>
      <c r="C284" s="257">
        <v>3.2992999999999998E-3</v>
      </c>
      <c r="D284" s="6">
        <v>4109475</v>
      </c>
      <c r="E284" s="210"/>
      <c r="F284" s="181"/>
    </row>
    <row r="285" spans="1:6" ht="13.8" x14ac:dyDescent="0.25">
      <c r="A285">
        <v>39805</v>
      </c>
      <c r="B285" t="s">
        <v>111</v>
      </c>
      <c r="C285" s="257">
        <v>3.881E-4</v>
      </c>
      <c r="D285" s="6">
        <v>479755.28</v>
      </c>
      <c r="E285" s="210"/>
      <c r="F285" s="181"/>
    </row>
    <row r="286" spans="1:6" ht="13.8" x14ac:dyDescent="0.25">
      <c r="A286">
        <v>39900</v>
      </c>
      <c r="B286" t="s">
        <v>415</v>
      </c>
      <c r="C286" s="257">
        <v>1.7683E-3</v>
      </c>
      <c r="D286" s="6">
        <v>2215292.66</v>
      </c>
      <c r="E286" s="210"/>
      <c r="F286" s="181"/>
    </row>
    <row r="287" spans="1:6" ht="13.8" x14ac:dyDescent="0.25">
      <c r="A287">
        <v>40000</v>
      </c>
      <c r="B287" t="s">
        <v>416</v>
      </c>
      <c r="C287" s="256">
        <v>3.101E-3</v>
      </c>
      <c r="D287" s="6">
        <v>5112009</v>
      </c>
      <c r="E287" s="210"/>
      <c r="F287" s="181"/>
    </row>
    <row r="288" spans="1:6" ht="13.8" x14ac:dyDescent="0.25">
      <c r="A288">
        <v>51000</v>
      </c>
      <c r="B288" t="s">
        <v>571</v>
      </c>
      <c r="C288" s="256">
        <v>2.5139000000000002E-2</v>
      </c>
      <c r="D288" s="6">
        <v>34652381</v>
      </c>
      <c r="E288" s="210"/>
      <c r="F288" s="181"/>
    </row>
    <row r="289" spans="1:6" ht="13.8" x14ac:dyDescent="0.25">
      <c r="A289" s="143">
        <v>51000.2</v>
      </c>
      <c r="B289" s="143" t="s">
        <v>572</v>
      </c>
      <c r="C289" s="256">
        <v>3.79E-5</v>
      </c>
      <c r="D289" s="144">
        <v>54285</v>
      </c>
      <c r="E289" s="210"/>
      <c r="F289" s="181"/>
    </row>
    <row r="290" spans="1:6" ht="13.8" x14ac:dyDescent="0.25">
      <c r="A290" s="143">
        <v>51000.3</v>
      </c>
      <c r="B290" s="143" t="s">
        <v>573</v>
      </c>
      <c r="C290" s="256">
        <v>7.7809999999999999E-4</v>
      </c>
      <c r="D290" s="144">
        <v>1022489</v>
      </c>
      <c r="E290" s="210"/>
      <c r="F290" s="181"/>
    </row>
    <row r="291" spans="1:6" ht="13.8" x14ac:dyDescent="0.25">
      <c r="A291">
        <v>60000</v>
      </c>
      <c r="B291" t="s">
        <v>574</v>
      </c>
      <c r="C291" s="256">
        <v>1.2889999999999999E-4</v>
      </c>
      <c r="D291" s="6">
        <v>227604</v>
      </c>
      <c r="E291" s="210"/>
      <c r="F291" s="181"/>
    </row>
    <row r="292" spans="1:6" ht="13.8" x14ac:dyDescent="0.25">
      <c r="A292">
        <v>90901</v>
      </c>
      <c r="B292" t="s">
        <v>417</v>
      </c>
      <c r="C292" s="256">
        <v>8.275E-4</v>
      </c>
      <c r="D292" s="6">
        <v>1025657</v>
      </c>
      <c r="E292" s="210"/>
      <c r="F292" s="181"/>
    </row>
    <row r="293" spans="1:6" ht="13.8" x14ac:dyDescent="0.25">
      <c r="A293">
        <v>91041</v>
      </c>
      <c r="B293" t="s">
        <v>418</v>
      </c>
      <c r="C293" s="257">
        <v>1.697E-4</v>
      </c>
      <c r="D293" s="6">
        <v>196745</v>
      </c>
      <c r="E293" s="210"/>
      <c r="F293" s="181"/>
    </row>
    <row r="294" spans="1:6" ht="13.8" x14ac:dyDescent="0.25">
      <c r="A294">
        <v>91111</v>
      </c>
      <c r="B294" t="s">
        <v>419</v>
      </c>
      <c r="C294" s="257">
        <v>8.1000000000000004E-5</v>
      </c>
      <c r="D294" s="6">
        <v>92335</v>
      </c>
      <c r="E294" s="210"/>
      <c r="F294" s="181"/>
    </row>
    <row r="295" spans="1:6" ht="13.8" x14ac:dyDescent="0.25">
      <c r="A295">
        <v>91151</v>
      </c>
      <c r="B295" t="s">
        <v>420</v>
      </c>
      <c r="C295" s="257">
        <v>2.5750000000000002E-4</v>
      </c>
      <c r="D295" s="6">
        <v>272596.83</v>
      </c>
      <c r="E295" s="210"/>
      <c r="F295" s="181"/>
    </row>
    <row r="296" spans="1:6" ht="13.8" x14ac:dyDescent="0.25">
      <c r="A296">
        <v>98101</v>
      </c>
      <c r="B296" t="s">
        <v>421</v>
      </c>
      <c r="C296" s="257">
        <v>1.1056E-3</v>
      </c>
      <c r="D296" s="6">
        <v>1229488</v>
      </c>
      <c r="E296" s="210"/>
      <c r="F296" s="181"/>
    </row>
    <row r="297" spans="1:6" ht="13.8" x14ac:dyDescent="0.25">
      <c r="A297">
        <v>98103</v>
      </c>
      <c r="B297" t="s">
        <v>575</v>
      </c>
      <c r="C297" s="257">
        <v>1.9919999999999999E-4</v>
      </c>
      <c r="D297" s="6">
        <v>252076.31</v>
      </c>
      <c r="E297" s="210"/>
      <c r="F297" s="181"/>
    </row>
    <row r="298" spans="1:6" ht="13.8" x14ac:dyDescent="0.25">
      <c r="A298">
        <v>98111</v>
      </c>
      <c r="B298" t="s">
        <v>422</v>
      </c>
      <c r="C298" s="257">
        <v>3.9090000000000001E-4</v>
      </c>
      <c r="D298" s="6">
        <v>447649.72</v>
      </c>
      <c r="E298" s="211"/>
      <c r="F298" s="181"/>
    </row>
    <row r="299" spans="1:6" ht="13.8" x14ac:dyDescent="0.25">
      <c r="A299">
        <v>98131</v>
      </c>
      <c r="B299" t="s">
        <v>423</v>
      </c>
      <c r="C299" s="256">
        <v>9.1000000000000003E-5</v>
      </c>
      <c r="D299" s="6">
        <v>131617.91</v>
      </c>
      <c r="E299" s="210"/>
      <c r="F299" s="181"/>
    </row>
    <row r="300" spans="1:6" ht="13.8" x14ac:dyDescent="0.25">
      <c r="A300">
        <v>99401</v>
      </c>
      <c r="B300" t="s">
        <v>424</v>
      </c>
      <c r="C300" s="256">
        <v>3.2289999999999999E-4</v>
      </c>
      <c r="D300" s="6">
        <v>387525</v>
      </c>
      <c r="E300" s="210"/>
      <c r="F300" s="181"/>
    </row>
    <row r="301" spans="1:6" ht="13.8" x14ac:dyDescent="0.25">
      <c r="A301">
        <v>99521</v>
      </c>
      <c r="B301" t="s">
        <v>425</v>
      </c>
      <c r="C301" s="256">
        <v>2.1489999999999999E-4</v>
      </c>
      <c r="D301" s="6">
        <v>209256.04</v>
      </c>
      <c r="E301" s="210"/>
      <c r="F301" s="181"/>
    </row>
    <row r="302" spans="1:6" ht="13.8" x14ac:dyDescent="0.25">
      <c r="A302">
        <v>99831</v>
      </c>
      <c r="B302" t="s">
        <v>426</v>
      </c>
      <c r="C302" s="258">
        <v>1.1800000000000001E-5</v>
      </c>
      <c r="D302" s="6">
        <v>24413</v>
      </c>
      <c r="E302" s="210"/>
      <c r="F302" s="181"/>
    </row>
    <row r="303" spans="1:6" ht="15.6" x14ac:dyDescent="0.3">
      <c r="B303" s="6"/>
      <c r="C303" s="229"/>
      <c r="E303" s="210"/>
      <c r="F303" s="181"/>
    </row>
    <row r="304" spans="1:6" x14ac:dyDescent="0.25">
      <c r="C304" s="7">
        <f>SUM(C3:C303)</f>
        <v>1</v>
      </c>
      <c r="D304" s="6">
        <f>SUM(D3:D303)</f>
        <v>1197177913</v>
      </c>
      <c r="E304" s="6"/>
    </row>
    <row r="315" spans="1:4" x14ac:dyDescent="0.25">
      <c r="A315" s="2"/>
    </row>
    <row r="317" spans="1:4" ht="15.6" x14ac:dyDescent="0.3">
      <c r="A317" s="186"/>
      <c r="B317" s="177"/>
      <c r="C317" s="178"/>
      <c r="D317" s="181"/>
    </row>
    <row r="318" spans="1:4" x14ac:dyDescent="0.25">
      <c r="D318" s="181"/>
    </row>
  </sheetData>
  <conditionalFormatting sqref="A45">
    <cfRule type="duplicateValues" dxfId="56" priority="200"/>
  </conditionalFormatting>
  <conditionalFormatting sqref="A46:A55 A3:A44">
    <cfRule type="duplicateValues" dxfId="55" priority="232"/>
  </conditionalFormatting>
  <conditionalFormatting sqref="A56">
    <cfRule type="duplicateValues" dxfId="54" priority="201"/>
  </conditionalFormatting>
  <conditionalFormatting sqref="A57 A280:A285 A292:A297">
    <cfRule type="duplicateValues" dxfId="53" priority="202"/>
  </conditionalFormatting>
  <conditionalFormatting sqref="A58:A98 A100:A109">
    <cfRule type="duplicateValues" dxfId="52" priority="205"/>
  </conditionalFormatting>
  <conditionalFormatting sqref="A99">
    <cfRule type="duplicateValues" dxfId="51" priority="207"/>
  </conditionalFormatting>
  <conditionalFormatting sqref="A110">
    <cfRule type="duplicateValues" dxfId="50" priority="208"/>
  </conditionalFormatting>
  <conditionalFormatting sqref="A111">
    <cfRule type="duplicateValues" dxfId="49" priority="209"/>
  </conditionalFormatting>
  <conditionalFormatting sqref="A112:A152 A154:A163">
    <cfRule type="duplicateValues" dxfId="48" priority="210"/>
  </conditionalFormatting>
  <conditionalFormatting sqref="A153">
    <cfRule type="duplicateValues" dxfId="47" priority="212"/>
  </conditionalFormatting>
  <conditionalFormatting sqref="A164">
    <cfRule type="duplicateValues" dxfId="46" priority="213"/>
  </conditionalFormatting>
  <conditionalFormatting sqref="A165">
    <cfRule type="duplicateValues" dxfId="45" priority="214"/>
  </conditionalFormatting>
  <conditionalFormatting sqref="A166:A206 A208:A217">
    <cfRule type="duplicateValues" dxfId="44" priority="215"/>
  </conditionalFormatting>
  <conditionalFormatting sqref="A207">
    <cfRule type="duplicateValues" dxfId="43" priority="217"/>
  </conditionalFormatting>
  <conditionalFormatting sqref="A218">
    <cfRule type="duplicateValues" dxfId="42" priority="218"/>
  </conditionalFormatting>
  <conditionalFormatting sqref="A219">
    <cfRule type="duplicateValues" dxfId="41" priority="219"/>
  </conditionalFormatting>
  <conditionalFormatting sqref="A220:A260 A262:A271">
    <cfRule type="duplicateValues" dxfId="40" priority="235"/>
  </conditionalFormatting>
  <conditionalFormatting sqref="A261">
    <cfRule type="duplicateValues" dxfId="39" priority="220"/>
  </conditionalFormatting>
  <conditionalFormatting sqref="A272">
    <cfRule type="duplicateValues" dxfId="38" priority="221"/>
  </conditionalFormatting>
  <conditionalFormatting sqref="A273">
    <cfRule type="duplicateValues" dxfId="37" priority="222"/>
  </conditionalFormatting>
  <conditionalFormatting sqref="A274:A277">
    <cfRule type="duplicateValues" dxfId="36" priority="223"/>
  </conditionalFormatting>
  <conditionalFormatting sqref="A278">
    <cfRule type="duplicateValues" dxfId="35" priority="224"/>
  </conditionalFormatting>
  <conditionalFormatting sqref="A279">
    <cfRule type="duplicateValues" dxfId="34" priority="225"/>
  </conditionalFormatting>
  <conditionalFormatting sqref="A286:A289">
    <cfRule type="duplicateValues" dxfId="33" priority="226"/>
  </conditionalFormatting>
  <conditionalFormatting sqref="A290">
    <cfRule type="duplicateValues" dxfId="32" priority="227"/>
  </conditionalFormatting>
  <conditionalFormatting sqref="A291">
    <cfRule type="duplicateValues" dxfId="31" priority="228"/>
  </conditionalFormatting>
  <conditionalFormatting sqref="A298:A301">
    <cfRule type="duplicateValues" dxfId="30" priority="229"/>
  </conditionalFormatting>
  <conditionalFormatting sqref="A302">
    <cfRule type="duplicateValues" dxfId="29" priority="199"/>
  </conditionalFormatting>
  <conditionalFormatting sqref="A303">
    <cfRule type="duplicateValues" dxfId="28" priority="60"/>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14"/>
  <sheetViews>
    <sheetView workbookViewId="0">
      <pane xSplit="2" ySplit="3" topLeftCell="C4" activePane="bottomRight" state="frozen"/>
      <selection activeCell="A4" sqref="A4"/>
      <selection pane="topRight" activeCell="A4" sqref="A4"/>
      <selection pane="bottomLeft" activeCell="A4" sqref="A4"/>
      <selection pane="bottomRight" activeCell="O318" sqref="O318"/>
    </sheetView>
  </sheetViews>
  <sheetFormatPr defaultRowHeight="13.2" x14ac:dyDescent="0.25"/>
  <cols>
    <col min="1" max="1" width="15.21875" customWidth="1"/>
    <col min="2" max="2" width="55.5546875" bestFit="1" customWidth="1"/>
    <col min="3" max="4" width="18.21875" customWidth="1"/>
    <col min="5" max="5" width="20" customWidth="1"/>
    <col min="6" max="6" width="14.44140625" customWidth="1"/>
    <col min="7" max="7" width="19.44140625" customWidth="1"/>
    <col min="8" max="8" width="18.21875" customWidth="1"/>
    <col min="9" max="9" width="20" customWidth="1"/>
    <col min="10" max="10" width="15.109375" bestFit="1" customWidth="1"/>
    <col min="11" max="11" width="19.44140625" customWidth="1"/>
    <col min="12" max="12" width="15" bestFit="1" customWidth="1"/>
    <col min="13" max="13" width="22.44140625" customWidth="1"/>
    <col min="14" max="14" width="15" bestFit="1" customWidth="1"/>
    <col min="24" max="24" width="15" bestFit="1" customWidth="1"/>
  </cols>
  <sheetData>
    <row r="1" spans="1:24" x14ac:dyDescent="0.25">
      <c r="A1" s="5">
        <v>1</v>
      </c>
      <c r="B1" s="5">
        <v>2</v>
      </c>
      <c r="C1" s="5">
        <v>3</v>
      </c>
      <c r="D1" s="5">
        <v>4</v>
      </c>
      <c r="E1" s="5">
        <v>5</v>
      </c>
      <c r="F1" s="5">
        <v>6</v>
      </c>
      <c r="G1" s="5">
        <v>7</v>
      </c>
      <c r="H1" s="5">
        <v>8</v>
      </c>
      <c r="I1" s="5">
        <v>9</v>
      </c>
      <c r="J1" s="5">
        <v>10</v>
      </c>
      <c r="K1" s="5">
        <v>11</v>
      </c>
      <c r="L1" s="5">
        <v>12</v>
      </c>
      <c r="M1" s="5">
        <v>13</v>
      </c>
      <c r="N1" s="5">
        <v>14</v>
      </c>
    </row>
    <row r="2" spans="1:24" ht="14.4" x14ac:dyDescent="0.3">
      <c r="D2" s="131" t="s">
        <v>130</v>
      </c>
      <c r="E2" s="132"/>
      <c r="F2" s="132"/>
      <c r="G2" s="133"/>
      <c r="H2" s="132" t="s">
        <v>113</v>
      </c>
      <c r="I2" s="132"/>
      <c r="J2" s="132"/>
      <c r="K2" s="133"/>
      <c r="L2" s="131" t="s">
        <v>114</v>
      </c>
      <c r="M2" s="132"/>
      <c r="N2" s="133"/>
    </row>
    <row r="3" spans="1:24" ht="100.8" x14ac:dyDescent="0.3">
      <c r="A3" s="49" t="s">
        <v>164</v>
      </c>
      <c r="B3" s="49" t="s">
        <v>165</v>
      </c>
      <c r="C3" s="49" t="s">
        <v>240</v>
      </c>
      <c r="D3" s="49" t="s">
        <v>116</v>
      </c>
      <c r="E3" s="49" t="s">
        <v>117</v>
      </c>
      <c r="F3" s="49" t="s">
        <v>131</v>
      </c>
      <c r="G3" s="49" t="s">
        <v>115</v>
      </c>
      <c r="H3" s="49" t="s">
        <v>116</v>
      </c>
      <c r="I3" s="49" t="s">
        <v>117</v>
      </c>
      <c r="J3" s="49" t="s">
        <v>131</v>
      </c>
      <c r="K3" s="49" t="s">
        <v>115</v>
      </c>
      <c r="L3" s="49" t="s">
        <v>118</v>
      </c>
      <c r="M3" s="49" t="s">
        <v>119</v>
      </c>
      <c r="N3" s="49" t="s">
        <v>120</v>
      </c>
      <c r="X3" s="164"/>
    </row>
    <row r="4" spans="1:24" x14ac:dyDescent="0.25">
      <c r="A4" s="195">
        <v>10200</v>
      </c>
      <c r="B4" s="197" t="s">
        <v>249</v>
      </c>
      <c r="C4" s="182">
        <v>26713829</v>
      </c>
      <c r="D4" s="182">
        <v>259356</v>
      </c>
      <c r="E4" s="182">
        <v>231330</v>
      </c>
      <c r="F4" s="182">
        <v>2138789</v>
      </c>
      <c r="G4" s="182">
        <v>4908361</v>
      </c>
      <c r="H4" s="182">
        <v>73920</v>
      </c>
      <c r="I4" s="230"/>
      <c r="J4" s="182">
        <v>12158092</v>
      </c>
      <c r="K4" s="182">
        <v>242722</v>
      </c>
      <c r="L4" s="182">
        <v>-2979223</v>
      </c>
      <c r="M4" s="182">
        <v>1328305</v>
      </c>
      <c r="N4" s="182">
        <f>SUM(L4:M4)</f>
        <v>-1650918</v>
      </c>
    </row>
    <row r="5" spans="1:24" x14ac:dyDescent="0.25">
      <c r="A5" s="195">
        <v>10400</v>
      </c>
      <c r="B5" s="197" t="s">
        <v>250</v>
      </c>
      <c r="C5" s="199">
        <v>69623288</v>
      </c>
      <c r="D5" s="199">
        <v>675950</v>
      </c>
      <c r="E5" s="182">
        <v>602908</v>
      </c>
      <c r="F5" s="199">
        <v>5574249</v>
      </c>
      <c r="G5" s="199">
        <v>5881960</v>
      </c>
      <c r="H5" s="199">
        <v>192655</v>
      </c>
      <c r="I5" s="231"/>
      <c r="J5" s="199">
        <v>31687198</v>
      </c>
      <c r="K5" s="199">
        <v>2209216</v>
      </c>
      <c r="L5" s="199">
        <v>-7764645</v>
      </c>
      <c r="M5" s="199">
        <v>1452750</v>
      </c>
      <c r="N5" s="182">
        <f t="shared" ref="N5:N9" si="0">SUM(L5:M5)</f>
        <v>-6311895</v>
      </c>
    </row>
    <row r="6" spans="1:24" x14ac:dyDescent="0.25">
      <c r="A6" s="195">
        <v>10500</v>
      </c>
      <c r="B6" s="197" t="s">
        <v>432</v>
      </c>
      <c r="C6" s="199">
        <v>16689268</v>
      </c>
      <c r="D6" s="199">
        <v>162031</v>
      </c>
      <c r="E6" s="182">
        <v>144522</v>
      </c>
      <c r="F6" s="199">
        <v>1336193</v>
      </c>
      <c r="G6" s="199">
        <v>1101840</v>
      </c>
      <c r="H6" s="199">
        <v>46181</v>
      </c>
      <c r="I6" s="231"/>
      <c r="J6" s="199">
        <v>7595679</v>
      </c>
      <c r="K6" s="199">
        <v>394574</v>
      </c>
      <c r="L6" s="199">
        <v>-1861247</v>
      </c>
      <c r="M6" s="199">
        <v>617174</v>
      </c>
      <c r="N6" s="182">
        <f t="shared" si="0"/>
        <v>-1244073</v>
      </c>
    </row>
    <row r="7" spans="1:24" x14ac:dyDescent="0.25">
      <c r="A7" s="195">
        <v>10700</v>
      </c>
      <c r="B7" s="197" t="s">
        <v>251</v>
      </c>
      <c r="C7" s="199">
        <v>105775911</v>
      </c>
      <c r="D7" s="199">
        <v>1026944</v>
      </c>
      <c r="E7" s="182">
        <v>915974</v>
      </c>
      <c r="F7" s="199">
        <v>8468736</v>
      </c>
      <c r="G7" s="199">
        <v>9600171</v>
      </c>
      <c r="H7" s="199">
        <v>292693</v>
      </c>
      <c r="I7" s="231"/>
      <c r="J7" s="199">
        <v>48141108</v>
      </c>
      <c r="K7" s="199">
        <v>2695016</v>
      </c>
      <c r="L7" s="199">
        <v>-11796519</v>
      </c>
      <c r="M7" s="199">
        <v>5433433</v>
      </c>
      <c r="N7" s="182">
        <f t="shared" si="0"/>
        <v>-6363086</v>
      </c>
    </row>
    <row r="8" spans="1:24" x14ac:dyDescent="0.25">
      <c r="A8" s="195">
        <v>10800</v>
      </c>
      <c r="B8" s="197" t="s">
        <v>252</v>
      </c>
      <c r="C8" s="199">
        <v>438729159</v>
      </c>
      <c r="D8" s="199">
        <v>4259480</v>
      </c>
      <c r="E8" s="182">
        <v>3799205</v>
      </c>
      <c r="F8" s="199">
        <v>35125969</v>
      </c>
      <c r="G8" s="199">
        <v>21882628</v>
      </c>
      <c r="H8" s="199">
        <v>1214009</v>
      </c>
      <c r="I8" s="231"/>
      <c r="J8" s="199">
        <v>199675971</v>
      </c>
      <c r="K8" s="199">
        <v>395349</v>
      </c>
      <c r="L8" s="199">
        <v>-48928687</v>
      </c>
      <c r="M8" s="199">
        <v>17106389</v>
      </c>
      <c r="N8" s="182">
        <f t="shared" si="0"/>
        <v>-31822298</v>
      </c>
    </row>
    <row r="9" spans="1:24" x14ac:dyDescent="0.25">
      <c r="A9" s="195">
        <v>10850</v>
      </c>
      <c r="B9" s="197" t="s">
        <v>433</v>
      </c>
      <c r="C9" s="199">
        <v>3065426</v>
      </c>
      <c r="D9" s="199">
        <v>29761</v>
      </c>
      <c r="E9" s="182">
        <v>26545</v>
      </c>
      <c r="F9" s="199">
        <v>245427</v>
      </c>
      <c r="G9" s="199">
        <v>365868</v>
      </c>
      <c r="H9" s="199">
        <v>8482</v>
      </c>
      <c r="I9" s="231"/>
      <c r="J9" s="199">
        <v>1395148</v>
      </c>
      <c r="K9" s="199">
        <v>566805</v>
      </c>
      <c r="L9" s="199">
        <v>-341866</v>
      </c>
      <c r="M9" s="199">
        <v>174108</v>
      </c>
      <c r="N9" s="182">
        <f t="shared" si="0"/>
        <v>-167758</v>
      </c>
    </row>
    <row r="10" spans="1:24" x14ac:dyDescent="0.25">
      <c r="A10" s="4">
        <v>10900</v>
      </c>
      <c r="B10" s="198" t="s">
        <v>253</v>
      </c>
      <c r="C10" s="183">
        <v>36085027</v>
      </c>
      <c r="D10" s="183">
        <v>350338</v>
      </c>
      <c r="E10" s="183">
        <v>312481</v>
      </c>
      <c r="F10" s="183">
        <v>2889075</v>
      </c>
      <c r="G10" s="183">
        <v>6477760</v>
      </c>
      <c r="H10" s="183">
        <v>99851</v>
      </c>
      <c r="I10" s="232"/>
      <c r="J10" s="183">
        <v>16423146</v>
      </c>
      <c r="K10" s="183">
        <v>1827043</v>
      </c>
      <c r="L10" s="183">
        <v>-4024335</v>
      </c>
      <c r="M10" s="183">
        <v>-62218</v>
      </c>
      <c r="N10" s="183">
        <f>SUM(L10:M10)</f>
        <v>-4086553</v>
      </c>
    </row>
    <row r="11" spans="1:24" x14ac:dyDescent="0.25">
      <c r="A11" s="4">
        <v>10910</v>
      </c>
      <c r="B11" s="198" t="s">
        <v>434</v>
      </c>
      <c r="C11" s="183">
        <v>10018343</v>
      </c>
      <c r="D11" s="183">
        <v>97265</v>
      </c>
      <c r="E11" s="183">
        <v>86755</v>
      </c>
      <c r="F11" s="183">
        <v>802099</v>
      </c>
      <c r="G11" s="183">
        <v>3868142</v>
      </c>
      <c r="H11" s="183">
        <v>27722</v>
      </c>
      <c r="I11" s="232"/>
      <c r="J11" s="183">
        <v>4559584</v>
      </c>
      <c r="K11" s="183">
        <v>0</v>
      </c>
      <c r="L11" s="183">
        <v>-1117282</v>
      </c>
      <c r="M11" s="183">
        <v>1299312</v>
      </c>
      <c r="N11" s="183">
        <f t="shared" ref="N11:N15" si="1">SUM(L11:M11)</f>
        <v>182030</v>
      </c>
    </row>
    <row r="12" spans="1:24" x14ac:dyDescent="0.25">
      <c r="A12" s="4">
        <v>10930</v>
      </c>
      <c r="B12" s="198" t="s">
        <v>435</v>
      </c>
      <c r="C12" s="183">
        <v>117472883</v>
      </c>
      <c r="D12" s="183">
        <v>1140506</v>
      </c>
      <c r="E12" s="183">
        <v>1017264</v>
      </c>
      <c r="F12" s="183">
        <v>9405231</v>
      </c>
      <c r="G12" s="183">
        <v>48618754</v>
      </c>
      <c r="H12" s="183">
        <v>325060</v>
      </c>
      <c r="I12" s="232"/>
      <c r="J12" s="183">
        <v>53464675</v>
      </c>
      <c r="K12" s="183">
        <v>827333</v>
      </c>
      <c r="L12" s="183">
        <v>-13101008</v>
      </c>
      <c r="M12" s="183">
        <v>20959599</v>
      </c>
      <c r="N12" s="183">
        <f t="shared" si="1"/>
        <v>7858591</v>
      </c>
    </row>
    <row r="13" spans="1:24" x14ac:dyDescent="0.25">
      <c r="A13" s="4">
        <v>10940</v>
      </c>
      <c r="B13" s="198" t="s">
        <v>502</v>
      </c>
      <c r="C13" s="184">
        <v>15220863</v>
      </c>
      <c r="D13" s="184">
        <v>147774</v>
      </c>
      <c r="E13" s="184">
        <v>131806</v>
      </c>
      <c r="F13" s="184">
        <v>1218628</v>
      </c>
      <c r="G13" s="184">
        <v>2258683</v>
      </c>
      <c r="H13" s="184">
        <v>42118</v>
      </c>
      <c r="I13" s="233"/>
      <c r="J13" s="184">
        <v>6927373</v>
      </c>
      <c r="K13" s="184">
        <v>474770</v>
      </c>
      <c r="L13" s="184">
        <v>-1697485</v>
      </c>
      <c r="M13" s="184">
        <v>627565</v>
      </c>
      <c r="N13" s="183">
        <f t="shared" si="1"/>
        <v>-1069920</v>
      </c>
    </row>
    <row r="14" spans="1:24" x14ac:dyDescent="0.25">
      <c r="A14" s="4">
        <v>10950</v>
      </c>
      <c r="B14" s="198" t="s">
        <v>436</v>
      </c>
      <c r="C14" s="183">
        <v>20306225</v>
      </c>
      <c r="D14" s="183">
        <v>197147</v>
      </c>
      <c r="E14" s="183">
        <v>175843</v>
      </c>
      <c r="F14" s="183">
        <v>1625777</v>
      </c>
      <c r="G14" s="183">
        <v>2849848</v>
      </c>
      <c r="H14" s="183">
        <v>56189</v>
      </c>
      <c r="I14" s="233"/>
      <c r="J14" s="183">
        <v>9241841</v>
      </c>
      <c r="K14" s="183">
        <v>0</v>
      </c>
      <c r="L14" s="183">
        <v>-2264626</v>
      </c>
      <c r="M14" s="183">
        <v>750717</v>
      </c>
      <c r="N14" s="183">
        <f t="shared" si="1"/>
        <v>-1513909</v>
      </c>
    </row>
    <row r="15" spans="1:24" x14ac:dyDescent="0.25">
      <c r="A15" s="4">
        <v>11050</v>
      </c>
      <c r="B15" s="198" t="s">
        <v>437</v>
      </c>
      <c r="C15" s="183">
        <v>5101688</v>
      </c>
      <c r="D15" s="183">
        <v>49531</v>
      </c>
      <c r="E15" s="183">
        <v>44178</v>
      </c>
      <c r="F15" s="183">
        <v>408456</v>
      </c>
      <c r="G15" s="183">
        <v>2308201</v>
      </c>
      <c r="H15" s="183">
        <v>14117</v>
      </c>
      <c r="I15" s="232"/>
      <c r="J15" s="183">
        <v>2321898</v>
      </c>
      <c r="K15" s="183">
        <v>425376</v>
      </c>
      <c r="L15" s="183">
        <v>-568961</v>
      </c>
      <c r="M15" s="183">
        <v>1601240</v>
      </c>
      <c r="N15" s="183">
        <f t="shared" si="1"/>
        <v>1032279</v>
      </c>
    </row>
    <row r="16" spans="1:24" x14ac:dyDescent="0.25">
      <c r="A16" s="195">
        <v>11300</v>
      </c>
      <c r="B16" s="197" t="s">
        <v>438</v>
      </c>
      <c r="C16" s="182">
        <v>101332471</v>
      </c>
      <c r="D16" s="182">
        <v>983804</v>
      </c>
      <c r="E16" s="182">
        <v>877495</v>
      </c>
      <c r="F16" s="182">
        <v>8112981</v>
      </c>
      <c r="G16" s="182">
        <v>6266128</v>
      </c>
      <c r="H16" s="182">
        <v>280397</v>
      </c>
      <c r="I16" s="234"/>
      <c r="J16" s="182">
        <v>46118794</v>
      </c>
      <c r="K16" s="182">
        <v>989345</v>
      </c>
      <c r="L16" s="182">
        <v>-11300968</v>
      </c>
      <c r="M16" s="182">
        <v>8267</v>
      </c>
      <c r="N16" s="182">
        <f>SUM(L16:M16)</f>
        <v>-11292701</v>
      </c>
    </row>
    <row r="17" spans="1:14" x14ac:dyDescent="0.25">
      <c r="A17" s="195">
        <v>11310</v>
      </c>
      <c r="B17" s="197" t="s">
        <v>439</v>
      </c>
      <c r="C17" s="199">
        <v>12221975</v>
      </c>
      <c r="D17" s="199">
        <v>118659</v>
      </c>
      <c r="E17" s="199">
        <v>105837</v>
      </c>
      <c r="F17" s="199">
        <v>978528</v>
      </c>
      <c r="G17" s="199">
        <v>1437735</v>
      </c>
      <c r="H17" s="199">
        <v>33819</v>
      </c>
      <c r="I17" s="231"/>
      <c r="J17" s="199">
        <v>5562509</v>
      </c>
      <c r="K17" s="199">
        <v>0</v>
      </c>
      <c r="L17" s="199">
        <v>-1363041</v>
      </c>
      <c r="M17" s="199">
        <v>734234</v>
      </c>
      <c r="N17" s="182">
        <f t="shared" ref="N17:N21" si="2">SUM(L17:M17)</f>
        <v>-628807</v>
      </c>
    </row>
    <row r="18" spans="1:14" x14ac:dyDescent="0.25">
      <c r="A18" s="195">
        <v>11600</v>
      </c>
      <c r="B18" s="197" t="s">
        <v>254</v>
      </c>
      <c r="C18" s="199">
        <v>53581727</v>
      </c>
      <c r="D18" s="199">
        <v>520208</v>
      </c>
      <c r="E18" s="199">
        <v>463995</v>
      </c>
      <c r="F18" s="199">
        <v>4289913</v>
      </c>
      <c r="G18" s="199">
        <v>7330442</v>
      </c>
      <c r="H18" s="199">
        <v>148266</v>
      </c>
      <c r="I18" s="231"/>
      <c r="J18" s="199">
        <v>24386305</v>
      </c>
      <c r="K18" s="199">
        <v>739075</v>
      </c>
      <c r="L18" s="199">
        <v>-5975631</v>
      </c>
      <c r="M18" s="199">
        <v>3179212</v>
      </c>
      <c r="N18" s="182">
        <f t="shared" si="2"/>
        <v>-2796419</v>
      </c>
    </row>
    <row r="19" spans="1:14" x14ac:dyDescent="0.25">
      <c r="A19" s="195">
        <v>11900</v>
      </c>
      <c r="B19" s="197" t="s">
        <v>255</v>
      </c>
      <c r="C19" s="199">
        <v>8886796</v>
      </c>
      <c r="D19" s="199">
        <v>86279</v>
      </c>
      <c r="E19" s="199">
        <v>76956</v>
      </c>
      <c r="F19" s="199">
        <v>711504</v>
      </c>
      <c r="G19" s="199">
        <v>4461438</v>
      </c>
      <c r="H19" s="199">
        <v>24591</v>
      </c>
      <c r="I19" s="231"/>
      <c r="J19" s="199">
        <v>4044590</v>
      </c>
      <c r="K19" s="199">
        <v>55105</v>
      </c>
      <c r="L19" s="199">
        <v>-991090</v>
      </c>
      <c r="M19" s="199">
        <v>1140565</v>
      </c>
      <c r="N19" s="182">
        <f t="shared" si="2"/>
        <v>149475</v>
      </c>
    </row>
    <row r="20" spans="1:14" x14ac:dyDescent="0.25">
      <c r="A20" s="195">
        <v>12100</v>
      </c>
      <c r="B20" s="197" t="s">
        <v>440</v>
      </c>
      <c r="C20" s="199">
        <v>6311189</v>
      </c>
      <c r="D20" s="199">
        <v>61273</v>
      </c>
      <c r="E20" s="199">
        <v>54652</v>
      </c>
      <c r="F20" s="199">
        <v>505293</v>
      </c>
      <c r="G20" s="199">
        <v>928335</v>
      </c>
      <c r="H20" s="199">
        <v>17464</v>
      </c>
      <c r="I20" s="231"/>
      <c r="J20" s="199">
        <v>2872371</v>
      </c>
      <c r="K20" s="199">
        <v>175302</v>
      </c>
      <c r="L20" s="199">
        <v>-703846</v>
      </c>
      <c r="M20" s="199">
        <v>123485</v>
      </c>
      <c r="N20" s="182">
        <f t="shared" si="2"/>
        <v>-580361</v>
      </c>
    </row>
    <row r="21" spans="1:14" x14ac:dyDescent="0.25">
      <c r="A21" s="195">
        <v>12150</v>
      </c>
      <c r="B21" s="197" t="s">
        <v>441</v>
      </c>
      <c r="C21" s="199">
        <v>230071</v>
      </c>
      <c r="D21" s="199">
        <v>2234</v>
      </c>
      <c r="E21" s="199">
        <v>1992</v>
      </c>
      <c r="F21" s="199">
        <v>18420</v>
      </c>
      <c r="G21" s="199">
        <v>48426</v>
      </c>
      <c r="H21" s="199">
        <v>637</v>
      </c>
      <c r="I21" s="231"/>
      <c r="J21" s="199">
        <v>104711</v>
      </c>
      <c r="K21" s="199">
        <v>844108</v>
      </c>
      <c r="L21" s="199">
        <v>-25659</v>
      </c>
      <c r="M21" s="199">
        <v>-191316</v>
      </c>
      <c r="N21" s="182">
        <f t="shared" si="2"/>
        <v>-216975</v>
      </c>
    </row>
    <row r="22" spans="1:14" x14ac:dyDescent="0.25">
      <c r="A22" s="4">
        <v>12160</v>
      </c>
      <c r="B22" s="198" t="s">
        <v>256</v>
      </c>
      <c r="C22" s="183">
        <v>40646133</v>
      </c>
      <c r="D22" s="183">
        <v>394620</v>
      </c>
      <c r="E22" s="183">
        <v>351978</v>
      </c>
      <c r="F22" s="183">
        <v>3254251</v>
      </c>
      <c r="G22" s="183">
        <v>3527308</v>
      </c>
      <c r="H22" s="183">
        <v>112472</v>
      </c>
      <c r="I22" s="232"/>
      <c r="J22" s="183">
        <v>18499012</v>
      </c>
      <c r="K22" s="183">
        <v>1244896</v>
      </c>
      <c r="L22" s="183">
        <v>-4533007</v>
      </c>
      <c r="M22" s="183">
        <v>918588</v>
      </c>
      <c r="N22" s="183">
        <f>SUM(L22:M22)</f>
        <v>-3614419</v>
      </c>
    </row>
    <row r="23" spans="1:14" x14ac:dyDescent="0.25">
      <c r="A23" s="4">
        <v>12220</v>
      </c>
      <c r="B23" s="198" t="s">
        <v>442</v>
      </c>
      <c r="C23" s="183">
        <v>1017996499</v>
      </c>
      <c r="D23" s="183">
        <v>9883400</v>
      </c>
      <c r="E23" s="183">
        <v>8815409</v>
      </c>
      <c r="F23" s="183">
        <v>81503846</v>
      </c>
      <c r="G23" s="183">
        <v>127997024</v>
      </c>
      <c r="H23" s="183">
        <v>2816901</v>
      </c>
      <c r="I23" s="232"/>
      <c r="J23" s="183">
        <v>463314177</v>
      </c>
      <c r="K23" s="183">
        <v>93800220</v>
      </c>
      <c r="L23" s="183">
        <v>-113530712</v>
      </c>
      <c r="M23" s="183">
        <v>23772649</v>
      </c>
      <c r="N23" s="183">
        <f t="shared" ref="N23:N27" si="3">SUM(L23:M23)</f>
        <v>-89758063</v>
      </c>
    </row>
    <row r="24" spans="1:14" x14ac:dyDescent="0.25">
      <c r="A24" s="4">
        <v>12510</v>
      </c>
      <c r="B24" s="198" t="s">
        <v>257</v>
      </c>
      <c r="C24" s="183">
        <v>103655217</v>
      </c>
      <c r="D24" s="183">
        <v>1006355</v>
      </c>
      <c r="E24" s="183">
        <v>897609</v>
      </c>
      <c r="F24" s="183">
        <v>8298947</v>
      </c>
      <c r="G24" s="183">
        <v>19813420</v>
      </c>
      <c r="H24" s="183">
        <v>286825</v>
      </c>
      <c r="I24" s="232"/>
      <c r="J24" s="183">
        <v>47175930</v>
      </c>
      <c r="K24" s="183">
        <v>7270754</v>
      </c>
      <c r="L24" s="183">
        <v>-11560011</v>
      </c>
      <c r="M24" s="183">
        <v>210224</v>
      </c>
      <c r="N24" s="183">
        <f t="shared" si="3"/>
        <v>-11349787</v>
      </c>
    </row>
    <row r="25" spans="1:14" x14ac:dyDescent="0.25">
      <c r="A25" s="4">
        <v>12600</v>
      </c>
      <c r="B25" s="198" t="s">
        <v>443</v>
      </c>
      <c r="C25" s="184">
        <v>40667063</v>
      </c>
      <c r="D25" s="184">
        <v>394823</v>
      </c>
      <c r="E25" s="184">
        <v>352159</v>
      </c>
      <c r="F25" s="184">
        <v>3255927</v>
      </c>
      <c r="G25" s="184">
        <v>4952781</v>
      </c>
      <c r="H25" s="184">
        <v>112530</v>
      </c>
      <c r="I25" s="233"/>
      <c r="J25" s="184">
        <v>18508538</v>
      </c>
      <c r="K25" s="184">
        <v>997672</v>
      </c>
      <c r="L25" s="184">
        <v>-4535341</v>
      </c>
      <c r="M25" s="184">
        <v>4076272</v>
      </c>
      <c r="N25" s="183">
        <f t="shared" si="3"/>
        <v>-459069</v>
      </c>
    </row>
    <row r="26" spans="1:14" x14ac:dyDescent="0.25">
      <c r="A26" s="4">
        <v>12700</v>
      </c>
      <c r="B26" s="198" t="s">
        <v>444</v>
      </c>
      <c r="C26" s="183">
        <v>22606723</v>
      </c>
      <c r="D26" s="183">
        <v>219481</v>
      </c>
      <c r="E26" s="183">
        <v>195764</v>
      </c>
      <c r="F26" s="183">
        <v>1809962</v>
      </c>
      <c r="G26" s="183">
        <v>795364</v>
      </c>
      <c r="H26" s="183">
        <v>62555</v>
      </c>
      <c r="I26" s="233"/>
      <c r="J26" s="183">
        <v>10288852</v>
      </c>
      <c r="K26" s="183">
        <v>697875</v>
      </c>
      <c r="L26" s="183">
        <v>-2521185</v>
      </c>
      <c r="M26" s="183">
        <v>273475</v>
      </c>
      <c r="N26" s="183">
        <f t="shared" si="3"/>
        <v>-2247710</v>
      </c>
    </row>
    <row r="27" spans="1:14" x14ac:dyDescent="0.25">
      <c r="A27" s="4">
        <v>13500</v>
      </c>
      <c r="B27" s="198" t="s">
        <v>445</v>
      </c>
      <c r="C27" s="183">
        <v>92618122</v>
      </c>
      <c r="D27" s="183">
        <v>899199</v>
      </c>
      <c r="E27" s="183">
        <v>802033</v>
      </c>
      <c r="F27" s="183">
        <v>7415284</v>
      </c>
      <c r="G27" s="183">
        <v>5335353</v>
      </c>
      <c r="H27" s="183">
        <v>256284</v>
      </c>
      <c r="I27" s="232"/>
      <c r="J27" s="183">
        <v>42152688</v>
      </c>
      <c r="K27" s="183">
        <v>3135828</v>
      </c>
      <c r="L27" s="183">
        <v>-10329113</v>
      </c>
      <c r="M27" s="183">
        <v>2926132</v>
      </c>
      <c r="N27" s="183">
        <f t="shared" si="3"/>
        <v>-7402981</v>
      </c>
    </row>
    <row r="28" spans="1:14" x14ac:dyDescent="0.25">
      <c r="A28" s="195">
        <v>13700</v>
      </c>
      <c r="B28" s="197" t="s">
        <v>446</v>
      </c>
      <c r="C28" s="182">
        <v>10001397</v>
      </c>
      <c r="D28" s="182">
        <v>97100</v>
      </c>
      <c r="E28" s="182">
        <v>86608</v>
      </c>
      <c r="F28" s="182">
        <v>800742</v>
      </c>
      <c r="G28" s="182">
        <v>830217</v>
      </c>
      <c r="H28" s="182">
        <v>27675</v>
      </c>
      <c r="I28" s="234"/>
      <c r="J28" s="182">
        <v>4551871</v>
      </c>
      <c r="K28" s="182">
        <v>436702</v>
      </c>
      <c r="L28" s="182">
        <v>-1115392</v>
      </c>
      <c r="M28" s="182">
        <v>35198</v>
      </c>
      <c r="N28" s="182">
        <f>SUM(L28:M28)</f>
        <v>-1080194</v>
      </c>
    </row>
    <row r="29" spans="1:14" x14ac:dyDescent="0.25">
      <c r="A29" s="195">
        <v>14300</v>
      </c>
      <c r="B29" s="197" t="s">
        <v>447</v>
      </c>
      <c r="C29" s="199">
        <v>32388637</v>
      </c>
      <c r="D29" s="199">
        <v>314451</v>
      </c>
      <c r="E29" s="199">
        <v>280472</v>
      </c>
      <c r="F29" s="199">
        <v>2593131</v>
      </c>
      <c r="G29" s="199">
        <v>2050664</v>
      </c>
      <c r="H29" s="199">
        <v>89623</v>
      </c>
      <c r="I29" s="231"/>
      <c r="J29" s="199">
        <v>14740832</v>
      </c>
      <c r="K29" s="199">
        <v>2136200</v>
      </c>
      <c r="L29" s="199">
        <v>-3612100</v>
      </c>
      <c r="M29" s="199">
        <v>1041772</v>
      </c>
      <c r="N29" s="182">
        <f t="shared" ref="N29:N33" si="4">SUM(L29:M29)</f>
        <v>-2570328</v>
      </c>
    </row>
    <row r="30" spans="1:14" x14ac:dyDescent="0.25">
      <c r="A30" s="195">
        <v>14300.2</v>
      </c>
      <c r="B30" s="197" t="s">
        <v>448</v>
      </c>
      <c r="C30" s="199">
        <v>4111912</v>
      </c>
      <c r="D30" s="199">
        <v>39921</v>
      </c>
      <c r="E30" s="199">
        <v>35607</v>
      </c>
      <c r="F30" s="199">
        <v>329212</v>
      </c>
      <c r="G30" s="199">
        <v>1107650</v>
      </c>
      <c r="H30" s="199">
        <v>11378</v>
      </c>
      <c r="I30" s="231"/>
      <c r="J30" s="199">
        <v>1871428</v>
      </c>
      <c r="K30" s="199">
        <v>798657</v>
      </c>
      <c r="L30" s="199">
        <v>-458576</v>
      </c>
      <c r="M30" s="199">
        <v>337162</v>
      </c>
      <c r="N30" s="182">
        <f t="shared" si="4"/>
        <v>-121414</v>
      </c>
    </row>
    <row r="31" spans="1:14" x14ac:dyDescent="0.25">
      <c r="A31" s="195">
        <v>18400</v>
      </c>
      <c r="B31" s="197" t="s">
        <v>449</v>
      </c>
      <c r="C31" s="199">
        <v>113236554</v>
      </c>
      <c r="D31" s="199">
        <v>1099377</v>
      </c>
      <c r="E31" s="199">
        <v>980580</v>
      </c>
      <c r="F31" s="199">
        <v>9066057</v>
      </c>
      <c r="G31" s="199">
        <v>795496</v>
      </c>
      <c r="H31" s="199">
        <v>313337</v>
      </c>
      <c r="I31" s="231"/>
      <c r="J31" s="199">
        <v>51536622</v>
      </c>
      <c r="K31" s="199">
        <v>1127698</v>
      </c>
      <c r="L31" s="199">
        <v>-12628558</v>
      </c>
      <c r="M31" s="199">
        <v>1223855</v>
      </c>
      <c r="N31" s="182">
        <f t="shared" si="4"/>
        <v>-11404703</v>
      </c>
    </row>
    <row r="32" spans="1:14" x14ac:dyDescent="0.25">
      <c r="A32" s="195">
        <v>18600</v>
      </c>
      <c r="B32" s="197" t="s">
        <v>450</v>
      </c>
      <c r="C32" s="199">
        <v>337920</v>
      </c>
      <c r="D32" s="199">
        <v>3281</v>
      </c>
      <c r="E32" s="199">
        <v>2926</v>
      </c>
      <c r="F32" s="199">
        <v>27055</v>
      </c>
      <c r="G32" s="199">
        <v>69484</v>
      </c>
      <c r="H32" s="199">
        <v>935</v>
      </c>
      <c r="I32" s="231"/>
      <c r="J32" s="199">
        <v>153795</v>
      </c>
      <c r="K32" s="199">
        <v>37391</v>
      </c>
      <c r="L32" s="199">
        <v>-37687</v>
      </c>
      <c r="M32" s="199">
        <v>-36882</v>
      </c>
      <c r="N32" s="182">
        <f t="shared" si="4"/>
        <v>-74569</v>
      </c>
    </row>
    <row r="33" spans="1:14" x14ac:dyDescent="0.25">
      <c r="A33" s="195">
        <v>18640</v>
      </c>
      <c r="B33" s="197" t="s">
        <v>244</v>
      </c>
      <c r="C33" s="199">
        <v>44053</v>
      </c>
      <c r="D33" s="199">
        <v>428</v>
      </c>
      <c r="E33" s="199">
        <v>381</v>
      </c>
      <c r="F33" s="199">
        <v>3527</v>
      </c>
      <c r="G33" s="199">
        <v>28221</v>
      </c>
      <c r="H33" s="199">
        <v>122</v>
      </c>
      <c r="I33" s="231"/>
      <c r="J33" s="199">
        <v>20049</v>
      </c>
      <c r="K33" s="199">
        <v>852</v>
      </c>
      <c r="L33" s="199">
        <v>-4914</v>
      </c>
      <c r="M33" s="199">
        <v>13698</v>
      </c>
      <c r="N33" s="182">
        <f t="shared" si="4"/>
        <v>8784</v>
      </c>
    </row>
    <row r="34" spans="1:14" x14ac:dyDescent="0.25">
      <c r="A34" s="4">
        <v>18690</v>
      </c>
      <c r="B34" s="198" t="s">
        <v>451</v>
      </c>
      <c r="C34" s="183">
        <v>0</v>
      </c>
      <c r="D34" s="183">
        <v>0</v>
      </c>
      <c r="E34" s="183">
        <v>0</v>
      </c>
      <c r="F34" s="183">
        <v>0</v>
      </c>
      <c r="G34" s="183">
        <v>0</v>
      </c>
      <c r="H34" s="183">
        <v>0</v>
      </c>
      <c r="I34" s="232"/>
      <c r="J34" s="183">
        <v>0</v>
      </c>
      <c r="K34" s="183">
        <v>0</v>
      </c>
      <c r="L34" s="183">
        <v>0</v>
      </c>
      <c r="M34" s="183">
        <v>-29536</v>
      </c>
      <c r="N34" s="183">
        <f>SUM(L34:M34)</f>
        <v>-29536</v>
      </c>
    </row>
    <row r="35" spans="1:14" x14ac:dyDescent="0.25">
      <c r="A35" s="4">
        <v>18740</v>
      </c>
      <c r="B35" s="198" t="s">
        <v>452</v>
      </c>
      <c r="C35" s="183">
        <v>0</v>
      </c>
      <c r="D35" s="183">
        <v>0</v>
      </c>
      <c r="E35" s="183">
        <v>0</v>
      </c>
      <c r="F35" s="183">
        <v>0</v>
      </c>
      <c r="G35" s="183">
        <v>14716</v>
      </c>
      <c r="H35" s="183">
        <v>0</v>
      </c>
      <c r="I35" s="232"/>
      <c r="J35" s="183">
        <v>0</v>
      </c>
      <c r="K35" s="183">
        <v>131581</v>
      </c>
      <c r="L35" s="183">
        <v>0</v>
      </c>
      <c r="M35" s="183">
        <v>-34643</v>
      </c>
      <c r="N35" s="183">
        <f t="shared" ref="N35:N39" si="5">SUM(L35:M35)</f>
        <v>-34643</v>
      </c>
    </row>
    <row r="36" spans="1:14" x14ac:dyDescent="0.25">
      <c r="A36" s="4">
        <v>18780</v>
      </c>
      <c r="B36" s="198" t="s">
        <v>453</v>
      </c>
      <c r="C36" s="183">
        <v>539954</v>
      </c>
      <c r="D36" s="183">
        <v>5242</v>
      </c>
      <c r="E36" s="183">
        <v>4676</v>
      </c>
      <c r="F36" s="183">
        <v>43230</v>
      </c>
      <c r="G36" s="183">
        <v>151766</v>
      </c>
      <c r="H36" s="183">
        <v>1494</v>
      </c>
      <c r="I36" s="232"/>
      <c r="J36" s="183">
        <v>245746</v>
      </c>
      <c r="K36" s="183">
        <v>0</v>
      </c>
      <c r="L36" s="183">
        <v>-60219</v>
      </c>
      <c r="M36" s="183">
        <v>74485</v>
      </c>
      <c r="N36" s="183">
        <f t="shared" si="5"/>
        <v>14266</v>
      </c>
    </row>
    <row r="37" spans="1:14" x14ac:dyDescent="0.25">
      <c r="A37" s="4">
        <v>19005</v>
      </c>
      <c r="B37" s="198" t="s">
        <v>454</v>
      </c>
      <c r="C37" s="184">
        <v>16054083</v>
      </c>
      <c r="D37" s="184">
        <v>155864</v>
      </c>
      <c r="E37" s="184">
        <v>139021</v>
      </c>
      <c r="F37" s="184">
        <v>1285338</v>
      </c>
      <c r="G37" s="184">
        <v>1282486</v>
      </c>
      <c r="H37" s="184">
        <v>44423</v>
      </c>
      <c r="I37" s="233"/>
      <c r="J37" s="184">
        <v>7306591</v>
      </c>
      <c r="K37" s="184">
        <v>601182</v>
      </c>
      <c r="L37" s="184">
        <v>-1790409</v>
      </c>
      <c r="M37" s="184">
        <v>463576</v>
      </c>
      <c r="N37" s="183">
        <f t="shared" si="5"/>
        <v>-1326833</v>
      </c>
    </row>
    <row r="38" spans="1:14" x14ac:dyDescent="0.25">
      <c r="A38" s="4">
        <v>19100</v>
      </c>
      <c r="B38" s="198" t="s">
        <v>258</v>
      </c>
      <c r="C38" s="183">
        <v>1482274489</v>
      </c>
      <c r="D38" s="183">
        <v>14390925</v>
      </c>
      <c r="E38" s="183">
        <v>12835855</v>
      </c>
      <c r="F38" s="183">
        <v>118675332</v>
      </c>
      <c r="G38" s="183">
        <v>159435676</v>
      </c>
      <c r="H38" s="183">
        <v>4101606</v>
      </c>
      <c r="I38" s="233"/>
      <c r="J38" s="183">
        <v>674618022</v>
      </c>
      <c r="K38" s="183">
        <v>150934681</v>
      </c>
      <c r="L38" s="183">
        <v>-165308700</v>
      </c>
      <c r="M38" s="183">
        <v>35858078</v>
      </c>
      <c r="N38" s="183">
        <f t="shared" si="5"/>
        <v>-129450622</v>
      </c>
    </row>
    <row r="39" spans="1:14" x14ac:dyDescent="0.25">
      <c r="A39" s="4">
        <v>20100</v>
      </c>
      <c r="B39" s="198" t="s">
        <v>37</v>
      </c>
      <c r="C39" s="183">
        <v>243840361</v>
      </c>
      <c r="D39" s="183">
        <v>2367367</v>
      </c>
      <c r="E39" s="183">
        <v>2111552</v>
      </c>
      <c r="F39" s="183">
        <v>19522589</v>
      </c>
      <c r="G39" s="183">
        <v>7794649</v>
      </c>
      <c r="H39" s="183">
        <v>674731</v>
      </c>
      <c r="I39" s="232"/>
      <c r="J39" s="183">
        <v>110977490</v>
      </c>
      <c r="K39" s="183">
        <v>2659009</v>
      </c>
      <c r="L39" s="183">
        <v>-27193974</v>
      </c>
      <c r="M39" s="183">
        <v>-3342383</v>
      </c>
      <c r="N39" s="183">
        <f t="shared" si="5"/>
        <v>-30536357</v>
      </c>
    </row>
    <row r="40" spans="1:14" x14ac:dyDescent="0.25">
      <c r="A40" s="195">
        <v>20200</v>
      </c>
      <c r="B40" s="197" t="s">
        <v>455</v>
      </c>
      <c r="C40" s="182">
        <v>35215707</v>
      </c>
      <c r="D40" s="182">
        <v>341898</v>
      </c>
      <c r="E40" s="182">
        <v>304953</v>
      </c>
      <c r="F40" s="182">
        <v>2819475</v>
      </c>
      <c r="G40" s="182">
        <v>2192075</v>
      </c>
      <c r="H40" s="182">
        <v>97445</v>
      </c>
      <c r="I40" s="234"/>
      <c r="J40" s="182">
        <v>16027498</v>
      </c>
      <c r="K40" s="182">
        <v>1646877</v>
      </c>
      <c r="L40" s="182">
        <v>-3927383</v>
      </c>
      <c r="M40" s="182">
        <v>812009</v>
      </c>
      <c r="N40" s="182">
        <f>SUM(L40:M40)</f>
        <v>-3115374</v>
      </c>
    </row>
    <row r="41" spans="1:14" x14ac:dyDescent="0.25">
      <c r="A41" s="195">
        <v>20300</v>
      </c>
      <c r="B41" s="197" t="s">
        <v>39</v>
      </c>
      <c r="C41" s="199">
        <v>535266896</v>
      </c>
      <c r="D41" s="199">
        <v>5196734</v>
      </c>
      <c r="E41" s="199">
        <v>4635180</v>
      </c>
      <c r="F41" s="199">
        <v>42855070</v>
      </c>
      <c r="G41" s="199">
        <v>12583651</v>
      </c>
      <c r="H41" s="199">
        <v>1481139</v>
      </c>
      <c r="I41" s="231"/>
      <c r="J41" s="199">
        <v>243612568</v>
      </c>
      <c r="K41" s="199">
        <v>50119760</v>
      </c>
      <c r="L41" s="199">
        <v>-59694930</v>
      </c>
      <c r="M41" s="199">
        <v>-25038028</v>
      </c>
      <c r="N41" s="182">
        <f t="shared" ref="N41:N45" si="6">SUM(L41:M41)</f>
        <v>-84732958</v>
      </c>
    </row>
    <row r="42" spans="1:14" x14ac:dyDescent="0.25">
      <c r="A42" s="195">
        <v>20400</v>
      </c>
      <c r="B42" s="197" t="s">
        <v>40</v>
      </c>
      <c r="C42" s="199">
        <v>27967544</v>
      </c>
      <c r="D42" s="199">
        <v>271528</v>
      </c>
      <c r="E42" s="199">
        <v>242187</v>
      </c>
      <c r="F42" s="199">
        <v>2239165</v>
      </c>
      <c r="G42" s="199">
        <v>1958164</v>
      </c>
      <c r="H42" s="199">
        <v>77389</v>
      </c>
      <c r="I42" s="231"/>
      <c r="J42" s="199">
        <v>12728688</v>
      </c>
      <c r="K42" s="199">
        <v>401816</v>
      </c>
      <c r="L42" s="199">
        <v>-3119042</v>
      </c>
      <c r="M42" s="199">
        <v>-606145</v>
      </c>
      <c r="N42" s="182">
        <f t="shared" si="6"/>
        <v>-3725187</v>
      </c>
    </row>
    <row r="43" spans="1:14" x14ac:dyDescent="0.25">
      <c r="A43" s="195">
        <v>20600</v>
      </c>
      <c r="B43" s="197" t="s">
        <v>41</v>
      </c>
      <c r="C43" s="199">
        <v>60044660</v>
      </c>
      <c r="D43" s="199">
        <v>582954</v>
      </c>
      <c r="E43" s="199">
        <v>519961</v>
      </c>
      <c r="F43" s="199">
        <v>4807355</v>
      </c>
      <c r="G43" s="199">
        <v>2990703</v>
      </c>
      <c r="H43" s="199">
        <v>166150</v>
      </c>
      <c r="I43" s="231"/>
      <c r="J43" s="199">
        <v>27327739</v>
      </c>
      <c r="K43" s="199">
        <v>8538167</v>
      </c>
      <c r="L43" s="199">
        <v>-6696402</v>
      </c>
      <c r="M43" s="199">
        <v>-1725865</v>
      </c>
      <c r="N43" s="182">
        <f t="shared" si="6"/>
        <v>-8422267</v>
      </c>
    </row>
    <row r="44" spans="1:14" x14ac:dyDescent="0.25">
      <c r="A44" s="195">
        <v>20700</v>
      </c>
      <c r="B44" s="197" t="s">
        <v>456</v>
      </c>
      <c r="C44" s="199">
        <v>139531878</v>
      </c>
      <c r="D44" s="199">
        <v>1354670</v>
      </c>
      <c r="E44" s="199">
        <v>1208286</v>
      </c>
      <c r="F44" s="199">
        <v>11171340</v>
      </c>
      <c r="G44" s="199">
        <v>10398738</v>
      </c>
      <c r="H44" s="199">
        <v>386099</v>
      </c>
      <c r="I44" s="231"/>
      <c r="J44" s="199">
        <v>63504243</v>
      </c>
      <c r="K44" s="199">
        <v>6089076</v>
      </c>
      <c r="L44" s="199">
        <v>-15561108</v>
      </c>
      <c r="M44" s="199">
        <v>-2066983</v>
      </c>
      <c r="N44" s="182">
        <f t="shared" si="6"/>
        <v>-17628091</v>
      </c>
    </row>
    <row r="45" spans="1:14" x14ac:dyDescent="0.25">
      <c r="A45" s="195">
        <v>20800</v>
      </c>
      <c r="B45" s="197" t="s">
        <v>457</v>
      </c>
      <c r="C45" s="199">
        <v>100588007</v>
      </c>
      <c r="D45" s="199">
        <v>976577</v>
      </c>
      <c r="E45" s="199">
        <v>871049</v>
      </c>
      <c r="F45" s="199">
        <v>8053377</v>
      </c>
      <c r="G45" s="199">
        <v>891797</v>
      </c>
      <c r="H45" s="199">
        <v>278337</v>
      </c>
      <c r="I45" s="231"/>
      <c r="J45" s="199">
        <v>45779971</v>
      </c>
      <c r="K45" s="199">
        <v>4618101</v>
      </c>
      <c r="L45" s="199">
        <v>-11217944</v>
      </c>
      <c r="M45" s="199">
        <v>-4371217</v>
      </c>
      <c r="N45" s="182">
        <f t="shared" si="6"/>
        <v>-15589161</v>
      </c>
    </row>
    <row r="46" spans="1:14" x14ac:dyDescent="0.25">
      <c r="A46" s="4">
        <v>20900</v>
      </c>
      <c r="B46" s="198" t="s">
        <v>44</v>
      </c>
      <c r="C46" s="183">
        <v>238952914</v>
      </c>
      <c r="D46" s="183">
        <v>2319917</v>
      </c>
      <c r="E46" s="183">
        <v>2069229</v>
      </c>
      <c r="F46" s="183">
        <v>19131285</v>
      </c>
      <c r="G46" s="183">
        <v>19051267</v>
      </c>
      <c r="H46" s="183">
        <v>661207</v>
      </c>
      <c r="I46" s="232"/>
      <c r="J46" s="183">
        <v>108753098</v>
      </c>
      <c r="K46" s="183">
        <v>7625536</v>
      </c>
      <c r="L46" s="183">
        <v>-26648908</v>
      </c>
      <c r="M46" s="183">
        <v>-132422</v>
      </c>
      <c r="N46" s="183">
        <f>SUM(L46:M46)</f>
        <v>-26781330</v>
      </c>
    </row>
    <row r="47" spans="1:14" x14ac:dyDescent="0.25">
      <c r="A47" s="4">
        <v>21200</v>
      </c>
      <c r="B47" s="198" t="s">
        <v>458</v>
      </c>
      <c r="C47" s="183">
        <v>71401687</v>
      </c>
      <c r="D47" s="183">
        <v>693216</v>
      </c>
      <c r="E47" s="183">
        <v>618308</v>
      </c>
      <c r="F47" s="183">
        <v>5716633</v>
      </c>
      <c r="G47" s="183">
        <v>3947722</v>
      </c>
      <c r="H47" s="183">
        <v>197576</v>
      </c>
      <c r="I47" s="232"/>
      <c r="J47" s="183">
        <v>32496589</v>
      </c>
      <c r="K47" s="183">
        <v>4206840</v>
      </c>
      <c r="L47" s="183">
        <v>-7962979</v>
      </c>
      <c r="M47" s="183">
        <v>-2235207</v>
      </c>
      <c r="N47" s="183">
        <f t="shared" ref="N47:N51" si="7">SUM(L47:M47)</f>
        <v>-10198186</v>
      </c>
    </row>
    <row r="48" spans="1:14" x14ac:dyDescent="0.25">
      <c r="A48" s="4">
        <v>21300</v>
      </c>
      <c r="B48" s="198" t="s">
        <v>459</v>
      </c>
      <c r="C48" s="183">
        <v>884577552</v>
      </c>
      <c r="D48" s="183">
        <v>8588078</v>
      </c>
      <c r="E48" s="183">
        <v>7660059</v>
      </c>
      <c r="F48" s="183">
        <v>70821926</v>
      </c>
      <c r="G48" s="183">
        <v>31724049</v>
      </c>
      <c r="H48" s="183">
        <v>2447717</v>
      </c>
      <c r="I48" s="232"/>
      <c r="J48" s="183">
        <v>402592073</v>
      </c>
      <c r="K48" s="183">
        <v>50648404</v>
      </c>
      <c r="L48" s="183">
        <v>-98651339</v>
      </c>
      <c r="M48" s="183">
        <v>-17628111</v>
      </c>
      <c r="N48" s="183">
        <f t="shared" si="7"/>
        <v>-116279450</v>
      </c>
    </row>
    <row r="49" spans="1:14" x14ac:dyDescent="0.25">
      <c r="A49" s="4">
        <v>21520</v>
      </c>
      <c r="B49" s="198" t="s">
        <v>503</v>
      </c>
      <c r="C49" s="184">
        <v>1702614844</v>
      </c>
      <c r="D49" s="184">
        <v>16530139</v>
      </c>
      <c r="E49" s="184">
        <v>14743907</v>
      </c>
      <c r="F49" s="184">
        <v>136316440</v>
      </c>
      <c r="G49" s="184">
        <v>110505070</v>
      </c>
      <c r="H49" s="184">
        <v>4711311</v>
      </c>
      <c r="I49" s="233"/>
      <c r="J49" s="184">
        <v>774900106</v>
      </c>
      <c r="K49" s="184">
        <v>0</v>
      </c>
      <c r="L49" s="184">
        <v>-189881866</v>
      </c>
      <c r="M49" s="184">
        <v>-7834095</v>
      </c>
      <c r="N49" s="183">
        <f t="shared" si="7"/>
        <v>-197715961</v>
      </c>
    </row>
    <row r="50" spans="1:14" x14ac:dyDescent="0.25">
      <c r="A50" s="4">
        <v>21525</v>
      </c>
      <c r="B50" s="198" t="s">
        <v>485</v>
      </c>
      <c r="C50" s="183">
        <v>44870265</v>
      </c>
      <c r="D50" s="183">
        <v>435631</v>
      </c>
      <c r="E50" s="183">
        <v>388557</v>
      </c>
      <c r="F50" s="183">
        <v>3592448</v>
      </c>
      <c r="G50" s="183">
        <v>7310537</v>
      </c>
      <c r="H50" s="183">
        <v>124161</v>
      </c>
      <c r="I50" s="233"/>
      <c r="J50" s="183">
        <v>20421514</v>
      </c>
      <c r="K50" s="183">
        <v>670292</v>
      </c>
      <c r="L50" s="183">
        <v>-5004096</v>
      </c>
      <c r="M50" s="183">
        <v>707852</v>
      </c>
      <c r="N50" s="183">
        <f t="shared" si="7"/>
        <v>-4296244</v>
      </c>
    </row>
    <row r="51" spans="1:14" x14ac:dyDescent="0.25">
      <c r="A51" s="4">
        <v>21525.200000000001</v>
      </c>
      <c r="B51" s="198" t="s">
        <v>486</v>
      </c>
      <c r="C51" s="183">
        <v>4397689</v>
      </c>
      <c r="D51" s="183">
        <v>42696</v>
      </c>
      <c r="E51" s="183">
        <v>38082</v>
      </c>
      <c r="F51" s="183">
        <v>352092</v>
      </c>
      <c r="G51" s="183">
        <v>1718658</v>
      </c>
      <c r="H51" s="183">
        <v>12169</v>
      </c>
      <c r="I51" s="232"/>
      <c r="J51" s="183">
        <v>2001492</v>
      </c>
      <c r="K51" s="183">
        <v>44350</v>
      </c>
      <c r="L51" s="183">
        <v>-490448</v>
      </c>
      <c r="M51" s="183">
        <v>810999</v>
      </c>
      <c r="N51" s="183">
        <f t="shared" si="7"/>
        <v>320551</v>
      </c>
    </row>
    <row r="52" spans="1:14" x14ac:dyDescent="0.25">
      <c r="A52" s="195">
        <v>21550</v>
      </c>
      <c r="B52" s="197" t="s">
        <v>48</v>
      </c>
      <c r="C52" s="182">
        <v>1096520831</v>
      </c>
      <c r="D52" s="182">
        <v>10645767</v>
      </c>
      <c r="E52" s="182">
        <v>9495396</v>
      </c>
      <c r="F52" s="182">
        <v>87790739</v>
      </c>
      <c r="G52" s="182">
        <v>138688845</v>
      </c>
      <c r="H52" s="182">
        <v>3034186</v>
      </c>
      <c r="I52" s="234"/>
      <c r="J52" s="182">
        <v>499052449</v>
      </c>
      <c r="K52" s="182">
        <v>0</v>
      </c>
      <c r="L52" s="182">
        <v>-122288034</v>
      </c>
      <c r="M52" s="182">
        <v>46387364</v>
      </c>
      <c r="N52" s="182">
        <f>SUM(L52:M52)</f>
        <v>-75900670</v>
      </c>
    </row>
    <row r="53" spans="1:14" x14ac:dyDescent="0.25">
      <c r="A53" s="195">
        <v>21570</v>
      </c>
      <c r="B53" s="197" t="s">
        <v>259</v>
      </c>
      <c r="C53" s="199">
        <v>4686035</v>
      </c>
      <c r="D53" s="199">
        <v>45495</v>
      </c>
      <c r="E53" s="199">
        <v>40579</v>
      </c>
      <c r="F53" s="199">
        <v>375178</v>
      </c>
      <c r="G53" s="199">
        <v>719985</v>
      </c>
      <c r="H53" s="199">
        <v>12967</v>
      </c>
      <c r="I53" s="231"/>
      <c r="J53" s="199">
        <v>2132725</v>
      </c>
      <c r="K53" s="199">
        <v>6820</v>
      </c>
      <c r="L53" s="199">
        <v>-522604</v>
      </c>
      <c r="M53" s="199">
        <v>305027</v>
      </c>
      <c r="N53" s="182">
        <f t="shared" ref="N53:N57" si="8">SUM(L53:M53)</f>
        <v>-217577</v>
      </c>
    </row>
    <row r="54" spans="1:14" x14ac:dyDescent="0.25">
      <c r="A54" s="195">
        <v>21800</v>
      </c>
      <c r="B54" s="197" t="s">
        <v>49</v>
      </c>
      <c r="C54" s="199">
        <v>136364233</v>
      </c>
      <c r="D54" s="199">
        <v>1323916</v>
      </c>
      <c r="E54" s="199">
        <v>1180855</v>
      </c>
      <c r="F54" s="199">
        <v>10917729</v>
      </c>
      <c r="G54" s="199">
        <v>7365768</v>
      </c>
      <c r="H54" s="199">
        <v>377334</v>
      </c>
      <c r="I54" s="231"/>
      <c r="J54" s="199">
        <v>62062573</v>
      </c>
      <c r="K54" s="199">
        <v>4088300</v>
      </c>
      <c r="L54" s="199">
        <v>-15207842</v>
      </c>
      <c r="M54" s="199">
        <v>-987587</v>
      </c>
      <c r="N54" s="182">
        <f t="shared" si="8"/>
        <v>-16195429</v>
      </c>
    </row>
    <row r="55" spans="1:14" x14ac:dyDescent="0.25">
      <c r="A55" s="195">
        <v>21900</v>
      </c>
      <c r="B55" s="197" t="s">
        <v>50</v>
      </c>
      <c r="C55" s="199">
        <v>60556469</v>
      </c>
      <c r="D55" s="199">
        <v>587923</v>
      </c>
      <c r="E55" s="199">
        <v>524393</v>
      </c>
      <c r="F55" s="199">
        <v>4848332</v>
      </c>
      <c r="G55" s="199">
        <v>818826</v>
      </c>
      <c r="H55" s="199">
        <v>167566</v>
      </c>
      <c r="I55" s="231"/>
      <c r="J55" s="199">
        <v>27560675</v>
      </c>
      <c r="K55" s="199">
        <v>12454963</v>
      </c>
      <c r="L55" s="199">
        <v>-6753480</v>
      </c>
      <c r="M55" s="199">
        <v>-5569202</v>
      </c>
      <c r="N55" s="182">
        <f t="shared" si="8"/>
        <v>-12322682</v>
      </c>
    </row>
    <row r="56" spans="1:14" x14ac:dyDescent="0.25">
      <c r="A56" s="195">
        <v>22000</v>
      </c>
      <c r="B56" s="197" t="s">
        <v>260</v>
      </c>
      <c r="C56" s="199">
        <v>79262935</v>
      </c>
      <c r="D56" s="199">
        <v>769538</v>
      </c>
      <c r="E56" s="199">
        <v>686383</v>
      </c>
      <c r="F56" s="199">
        <v>6346028</v>
      </c>
      <c r="G56" s="199">
        <v>15247214</v>
      </c>
      <c r="H56" s="199">
        <v>219329</v>
      </c>
      <c r="I56" s="231"/>
      <c r="J56" s="199">
        <v>36074428</v>
      </c>
      <c r="K56" s="199">
        <v>4787434</v>
      </c>
      <c r="L56" s="199">
        <v>-8839692</v>
      </c>
      <c r="M56" s="199">
        <v>700099</v>
      </c>
      <c r="N56" s="182">
        <f t="shared" si="8"/>
        <v>-8139593</v>
      </c>
    </row>
    <row r="57" spans="1:14" x14ac:dyDescent="0.25">
      <c r="A57" s="195">
        <v>23000</v>
      </c>
      <c r="B57" s="197" t="s">
        <v>51</v>
      </c>
      <c r="C57" s="199">
        <v>53235051</v>
      </c>
      <c r="D57" s="199">
        <v>516842</v>
      </c>
      <c r="E57" s="199">
        <v>460992</v>
      </c>
      <c r="F57" s="199">
        <v>4262158</v>
      </c>
      <c r="G57" s="199">
        <v>1033887</v>
      </c>
      <c r="H57" s="199">
        <v>147307</v>
      </c>
      <c r="I57" s="231"/>
      <c r="J57" s="199">
        <v>24228525</v>
      </c>
      <c r="K57" s="199">
        <v>6912420</v>
      </c>
      <c r="L57" s="199">
        <v>-5936968</v>
      </c>
      <c r="M57" s="199">
        <v>-2171380</v>
      </c>
      <c r="N57" s="182">
        <f t="shared" si="8"/>
        <v>-8108348</v>
      </c>
    </row>
    <row r="58" spans="1:14" x14ac:dyDescent="0.25">
      <c r="A58" s="4">
        <v>23100</v>
      </c>
      <c r="B58" s="198" t="s">
        <v>52</v>
      </c>
      <c r="C58" s="183">
        <v>357060159</v>
      </c>
      <c r="D58" s="183">
        <v>3466582</v>
      </c>
      <c r="E58" s="183">
        <v>3091986</v>
      </c>
      <c r="F58" s="183">
        <v>28587305</v>
      </c>
      <c r="G58" s="183">
        <v>19592691</v>
      </c>
      <c r="H58" s="183">
        <v>988022</v>
      </c>
      <c r="I58" s="232"/>
      <c r="J58" s="183">
        <v>162506486</v>
      </c>
      <c r="K58" s="183">
        <v>14712572</v>
      </c>
      <c r="L58" s="183">
        <v>-39820660</v>
      </c>
      <c r="M58" s="183">
        <v>1680260</v>
      </c>
      <c r="N58" s="183">
        <f>SUM(L58:M58)</f>
        <v>-38140400</v>
      </c>
    </row>
    <row r="59" spans="1:14" x14ac:dyDescent="0.25">
      <c r="A59" s="4">
        <v>23200</v>
      </c>
      <c r="B59" s="198" t="s">
        <v>53</v>
      </c>
      <c r="C59" s="183">
        <v>201593584</v>
      </c>
      <c r="D59" s="183">
        <v>1957207</v>
      </c>
      <c r="E59" s="183">
        <v>1745713</v>
      </c>
      <c r="F59" s="183">
        <v>16140186</v>
      </c>
      <c r="G59" s="183">
        <v>22809098</v>
      </c>
      <c r="H59" s="183">
        <v>557830</v>
      </c>
      <c r="I59" s="232"/>
      <c r="J59" s="183">
        <v>91749987</v>
      </c>
      <c r="K59" s="183">
        <v>1529440</v>
      </c>
      <c r="L59" s="183">
        <v>-22482457</v>
      </c>
      <c r="M59" s="183">
        <v>4810457</v>
      </c>
      <c r="N59" s="183">
        <f t="shared" ref="N59:N63" si="9">SUM(L59:M59)</f>
        <v>-17672000</v>
      </c>
    </row>
    <row r="60" spans="1:14" x14ac:dyDescent="0.25">
      <c r="A60" s="4">
        <v>30000</v>
      </c>
      <c r="B60" s="198" t="s">
        <v>261</v>
      </c>
      <c r="C60" s="183">
        <v>16921584</v>
      </c>
      <c r="D60" s="183">
        <v>164286</v>
      </c>
      <c r="E60" s="183">
        <v>146534</v>
      </c>
      <c r="F60" s="183">
        <v>1354793</v>
      </c>
      <c r="G60" s="183">
        <v>277424</v>
      </c>
      <c r="H60" s="183">
        <v>46824</v>
      </c>
      <c r="I60" s="232"/>
      <c r="J60" s="183">
        <v>7701411</v>
      </c>
      <c r="K60" s="183">
        <v>3362484</v>
      </c>
      <c r="L60" s="183">
        <v>-1887158</v>
      </c>
      <c r="M60" s="183">
        <v>-1125787</v>
      </c>
      <c r="N60" s="183">
        <f t="shared" si="9"/>
        <v>-3012945</v>
      </c>
    </row>
    <row r="61" spans="1:14" x14ac:dyDescent="0.25">
      <c r="A61" s="4">
        <v>30100</v>
      </c>
      <c r="B61" s="198" t="s">
        <v>262</v>
      </c>
      <c r="C61" s="184">
        <v>183690533</v>
      </c>
      <c r="D61" s="184">
        <v>1783392</v>
      </c>
      <c r="E61" s="184">
        <v>1590680</v>
      </c>
      <c r="F61" s="184">
        <v>14706814</v>
      </c>
      <c r="G61" s="184">
        <v>15642222</v>
      </c>
      <c r="H61" s="184">
        <v>508291</v>
      </c>
      <c r="I61" s="233"/>
      <c r="J61" s="184">
        <v>83601887</v>
      </c>
      <c r="K61" s="184">
        <v>10332071</v>
      </c>
      <c r="L61" s="184">
        <v>-20485844</v>
      </c>
      <c r="M61" s="184">
        <v>-328193</v>
      </c>
      <c r="N61" s="183">
        <f t="shared" si="9"/>
        <v>-20814037</v>
      </c>
    </row>
    <row r="62" spans="1:14" x14ac:dyDescent="0.25">
      <c r="A62" s="4">
        <v>30102</v>
      </c>
      <c r="B62" s="198" t="s">
        <v>263</v>
      </c>
      <c r="C62" s="183">
        <v>3934573</v>
      </c>
      <c r="D62" s="183">
        <v>38200</v>
      </c>
      <c r="E62" s="183">
        <v>34072</v>
      </c>
      <c r="F62" s="183">
        <v>315014</v>
      </c>
      <c r="G62" s="183">
        <v>429059</v>
      </c>
      <c r="H62" s="183">
        <v>10887</v>
      </c>
      <c r="I62" s="233"/>
      <c r="J62" s="183">
        <v>1790717</v>
      </c>
      <c r="K62" s="183">
        <v>5440</v>
      </c>
      <c r="L62" s="183">
        <v>-438800</v>
      </c>
      <c r="M62" s="183">
        <v>129245</v>
      </c>
      <c r="N62" s="183">
        <f t="shared" si="9"/>
        <v>-309555</v>
      </c>
    </row>
    <row r="63" spans="1:14" x14ac:dyDescent="0.25">
      <c r="A63" s="4">
        <v>30103</v>
      </c>
      <c r="B63" s="198" t="s">
        <v>264</v>
      </c>
      <c r="C63" s="183">
        <v>4968665</v>
      </c>
      <c r="D63" s="183">
        <v>48239</v>
      </c>
      <c r="E63" s="183">
        <v>43026</v>
      </c>
      <c r="F63" s="183">
        <v>397806</v>
      </c>
      <c r="G63" s="183">
        <v>697867</v>
      </c>
      <c r="H63" s="183">
        <v>13749</v>
      </c>
      <c r="I63" s="232"/>
      <c r="J63" s="183">
        <v>2261357</v>
      </c>
      <c r="K63" s="183">
        <v>457409</v>
      </c>
      <c r="L63" s="183">
        <v>-554124</v>
      </c>
      <c r="M63" s="183">
        <v>292129</v>
      </c>
      <c r="N63" s="183">
        <f t="shared" si="9"/>
        <v>-261995</v>
      </c>
    </row>
    <row r="64" spans="1:14" x14ac:dyDescent="0.25">
      <c r="A64" s="195">
        <v>30104</v>
      </c>
      <c r="B64" s="197" t="s">
        <v>265</v>
      </c>
      <c r="C64" s="182">
        <v>3259203</v>
      </c>
      <c r="D64" s="182">
        <v>31643</v>
      </c>
      <c r="E64" s="182">
        <v>28223</v>
      </c>
      <c r="F64" s="182">
        <v>260942</v>
      </c>
      <c r="G64" s="182">
        <v>1088869</v>
      </c>
      <c r="H64" s="182">
        <v>9019</v>
      </c>
      <c r="I64" s="234"/>
      <c r="J64" s="182">
        <v>1483340</v>
      </c>
      <c r="K64" s="182">
        <v>417916</v>
      </c>
      <c r="L64" s="182">
        <v>-363479</v>
      </c>
      <c r="M64" s="182">
        <v>207527</v>
      </c>
      <c r="N64" s="182">
        <f>SUM(L64:M64)</f>
        <v>-155952</v>
      </c>
    </row>
    <row r="65" spans="1:14" x14ac:dyDescent="0.25">
      <c r="A65" s="195">
        <v>30105</v>
      </c>
      <c r="B65" s="197" t="s">
        <v>54</v>
      </c>
      <c r="C65" s="199">
        <v>16513917</v>
      </c>
      <c r="D65" s="199">
        <v>160328</v>
      </c>
      <c r="E65" s="199">
        <v>143003</v>
      </c>
      <c r="F65" s="199">
        <v>1322154</v>
      </c>
      <c r="G65" s="199">
        <v>708092</v>
      </c>
      <c r="H65" s="199">
        <v>45696</v>
      </c>
      <c r="I65" s="231"/>
      <c r="J65" s="199">
        <v>7515872</v>
      </c>
      <c r="K65" s="199">
        <v>1606286</v>
      </c>
      <c r="L65" s="199">
        <v>-1841694</v>
      </c>
      <c r="M65" s="199">
        <v>-38295</v>
      </c>
      <c r="N65" s="182">
        <f t="shared" ref="N65:N128" si="10">SUM(L65:M65)</f>
        <v>-1879989</v>
      </c>
    </row>
    <row r="66" spans="1:14" x14ac:dyDescent="0.25">
      <c r="A66" s="195">
        <v>30200</v>
      </c>
      <c r="B66" s="197" t="s">
        <v>266</v>
      </c>
      <c r="C66" s="199">
        <v>40929988</v>
      </c>
      <c r="D66" s="199">
        <v>397376</v>
      </c>
      <c r="E66" s="199">
        <v>354436</v>
      </c>
      <c r="F66" s="199">
        <v>3276977</v>
      </c>
      <c r="G66" s="199">
        <v>3883432</v>
      </c>
      <c r="H66" s="199">
        <v>113257</v>
      </c>
      <c r="I66" s="231"/>
      <c r="J66" s="199">
        <v>18628201</v>
      </c>
      <c r="K66" s="199">
        <v>3736560</v>
      </c>
      <c r="L66" s="199">
        <v>-4564662</v>
      </c>
      <c r="M66" s="199">
        <v>229490</v>
      </c>
      <c r="N66" s="182">
        <f t="shared" si="10"/>
        <v>-4335172</v>
      </c>
    </row>
    <row r="67" spans="1:14" x14ac:dyDescent="0.25">
      <c r="A67" s="195">
        <v>30300</v>
      </c>
      <c r="B67" s="197" t="s">
        <v>267</v>
      </c>
      <c r="C67" s="199">
        <v>12619011</v>
      </c>
      <c r="D67" s="199">
        <v>122514</v>
      </c>
      <c r="E67" s="199">
        <v>109275</v>
      </c>
      <c r="F67" s="199">
        <v>1010316</v>
      </c>
      <c r="G67" s="199">
        <v>474924</v>
      </c>
      <c r="H67" s="199">
        <v>34918</v>
      </c>
      <c r="I67" s="231"/>
      <c r="J67" s="199">
        <v>5743209</v>
      </c>
      <c r="K67" s="199">
        <v>986745</v>
      </c>
      <c r="L67" s="199">
        <v>-1407317</v>
      </c>
      <c r="M67" s="199">
        <v>-343776</v>
      </c>
      <c r="N67" s="182">
        <f t="shared" si="10"/>
        <v>-1751093</v>
      </c>
    </row>
    <row r="68" spans="1:14" x14ac:dyDescent="0.25">
      <c r="A68" s="195">
        <v>30400</v>
      </c>
      <c r="B68" s="197" t="s">
        <v>268</v>
      </c>
      <c r="C68" s="199">
        <v>23615140</v>
      </c>
      <c r="D68" s="199">
        <v>229272</v>
      </c>
      <c r="E68" s="199">
        <v>204497</v>
      </c>
      <c r="F68" s="199">
        <v>1890699</v>
      </c>
      <c r="G68" s="199">
        <v>901965</v>
      </c>
      <c r="H68" s="199">
        <v>65346</v>
      </c>
      <c r="I68" s="231"/>
      <c r="J68" s="199">
        <v>10747806</v>
      </c>
      <c r="K68" s="199">
        <v>1752347</v>
      </c>
      <c r="L68" s="199">
        <v>-2633647</v>
      </c>
      <c r="M68" s="199">
        <v>-467182</v>
      </c>
      <c r="N68" s="182">
        <f t="shared" si="10"/>
        <v>-3100829</v>
      </c>
    </row>
    <row r="69" spans="1:14" x14ac:dyDescent="0.25">
      <c r="A69" s="195">
        <v>30405</v>
      </c>
      <c r="B69" s="197" t="s">
        <v>55</v>
      </c>
      <c r="C69" s="199">
        <v>14660542</v>
      </c>
      <c r="D69" s="199">
        <v>142334</v>
      </c>
      <c r="E69" s="199">
        <v>126954</v>
      </c>
      <c r="F69" s="199">
        <v>1173767</v>
      </c>
      <c r="G69" s="199">
        <v>705504</v>
      </c>
      <c r="H69" s="199">
        <v>40567</v>
      </c>
      <c r="I69" s="231"/>
      <c r="J69" s="199">
        <v>6672358</v>
      </c>
      <c r="K69" s="199">
        <v>1435397</v>
      </c>
      <c r="L69" s="199">
        <v>-1634997</v>
      </c>
      <c r="M69" s="199">
        <v>-916933</v>
      </c>
      <c r="N69" s="182">
        <f t="shared" si="10"/>
        <v>-2551930</v>
      </c>
    </row>
    <row r="70" spans="1:14" x14ac:dyDescent="0.25">
      <c r="A70" s="4">
        <v>30500</v>
      </c>
      <c r="B70" s="198" t="s">
        <v>269</v>
      </c>
      <c r="C70" s="183">
        <v>23491369</v>
      </c>
      <c r="D70" s="183">
        <v>228070</v>
      </c>
      <c r="E70" s="183">
        <v>203425</v>
      </c>
      <c r="F70" s="183">
        <v>1880789</v>
      </c>
      <c r="G70" s="183">
        <v>0</v>
      </c>
      <c r="H70" s="183">
        <v>65003</v>
      </c>
      <c r="I70" s="232"/>
      <c r="J70" s="183">
        <v>10691475</v>
      </c>
      <c r="K70" s="183">
        <v>3146674</v>
      </c>
      <c r="L70" s="183">
        <v>-2619842</v>
      </c>
      <c r="M70" s="183">
        <v>-953551</v>
      </c>
      <c r="N70" s="184">
        <f t="shared" si="10"/>
        <v>-3573393</v>
      </c>
    </row>
    <row r="71" spans="1:14" x14ac:dyDescent="0.25">
      <c r="A71" s="4">
        <v>30600</v>
      </c>
      <c r="B71" s="198" t="s">
        <v>270</v>
      </c>
      <c r="C71" s="183">
        <v>18594471</v>
      </c>
      <c r="D71" s="183">
        <v>180528</v>
      </c>
      <c r="E71" s="183">
        <v>161020</v>
      </c>
      <c r="F71" s="183">
        <v>1488729</v>
      </c>
      <c r="G71" s="183">
        <v>845152</v>
      </c>
      <c r="H71" s="183">
        <v>51453</v>
      </c>
      <c r="I71" s="232"/>
      <c r="J71" s="183">
        <v>8462782</v>
      </c>
      <c r="K71" s="183">
        <v>2040525</v>
      </c>
      <c r="L71" s="183">
        <v>-2073724</v>
      </c>
      <c r="M71" s="183">
        <v>-682868</v>
      </c>
      <c r="N71" s="184">
        <f t="shared" si="10"/>
        <v>-2756592</v>
      </c>
    </row>
    <row r="72" spans="1:14" x14ac:dyDescent="0.25">
      <c r="A72" s="4">
        <v>30601</v>
      </c>
      <c r="B72" s="198" t="s">
        <v>271</v>
      </c>
      <c r="C72" s="183">
        <v>0</v>
      </c>
      <c r="D72" s="183">
        <v>0</v>
      </c>
      <c r="E72" s="183">
        <v>0</v>
      </c>
      <c r="F72" s="183">
        <v>0</v>
      </c>
      <c r="G72" s="183">
        <v>203435</v>
      </c>
      <c r="H72" s="183">
        <v>0</v>
      </c>
      <c r="I72" s="232"/>
      <c r="J72" s="183">
        <v>0</v>
      </c>
      <c r="K72" s="183">
        <v>615796</v>
      </c>
      <c r="L72" s="183">
        <v>0</v>
      </c>
      <c r="M72" s="183">
        <v>-147136</v>
      </c>
      <c r="N72" s="184">
        <f t="shared" si="10"/>
        <v>-147136</v>
      </c>
    </row>
    <row r="73" spans="1:14" x14ac:dyDescent="0.25">
      <c r="A73" s="4">
        <v>30700</v>
      </c>
      <c r="B73" s="198" t="s">
        <v>272</v>
      </c>
      <c r="C73" s="184">
        <v>54216537</v>
      </c>
      <c r="D73" s="184">
        <v>526371</v>
      </c>
      <c r="E73" s="184">
        <v>469492</v>
      </c>
      <c r="F73" s="184">
        <v>4340738</v>
      </c>
      <c r="G73" s="184">
        <v>8418232</v>
      </c>
      <c r="H73" s="184">
        <v>150023</v>
      </c>
      <c r="I73" s="233"/>
      <c r="J73" s="184">
        <v>24675223</v>
      </c>
      <c r="K73" s="184">
        <v>5417473</v>
      </c>
      <c r="L73" s="184">
        <v>-6046427</v>
      </c>
      <c r="M73" s="184">
        <v>335107</v>
      </c>
      <c r="N73" s="184">
        <f t="shared" si="10"/>
        <v>-5711320</v>
      </c>
    </row>
    <row r="74" spans="1:14" x14ac:dyDescent="0.25">
      <c r="A74" s="4">
        <v>30705</v>
      </c>
      <c r="B74" s="198" t="s">
        <v>56</v>
      </c>
      <c r="C74" s="183">
        <v>9734407</v>
      </c>
      <c r="D74" s="183">
        <v>94508</v>
      </c>
      <c r="E74" s="183">
        <v>84296</v>
      </c>
      <c r="F74" s="183">
        <v>779366</v>
      </c>
      <c r="G74" s="183">
        <v>263114</v>
      </c>
      <c r="H74" s="183">
        <v>26936</v>
      </c>
      <c r="I74" s="233"/>
      <c r="J74" s="183">
        <v>4430358</v>
      </c>
      <c r="K74" s="183">
        <v>203247</v>
      </c>
      <c r="L74" s="183">
        <v>-1085618</v>
      </c>
      <c r="M74" s="183">
        <v>-270173</v>
      </c>
      <c r="N74" s="184">
        <f t="shared" si="10"/>
        <v>-1355791</v>
      </c>
    </row>
    <row r="75" spans="1:14" x14ac:dyDescent="0.25">
      <c r="A75" s="4">
        <v>30800</v>
      </c>
      <c r="B75" s="198" t="s">
        <v>273</v>
      </c>
      <c r="C75" s="183">
        <v>14436804</v>
      </c>
      <c r="D75" s="183">
        <v>140162</v>
      </c>
      <c r="E75" s="183">
        <v>125016</v>
      </c>
      <c r="F75" s="183">
        <v>1155854</v>
      </c>
      <c r="G75" s="183">
        <v>0</v>
      </c>
      <c r="H75" s="183">
        <v>39948</v>
      </c>
      <c r="I75" s="232"/>
      <c r="J75" s="183">
        <v>6570529</v>
      </c>
      <c r="K75" s="183">
        <v>3518138</v>
      </c>
      <c r="L75" s="183">
        <v>-1610045</v>
      </c>
      <c r="M75" s="183">
        <v>-1822154</v>
      </c>
      <c r="N75" s="184">
        <f t="shared" si="10"/>
        <v>-3432199</v>
      </c>
    </row>
    <row r="76" spans="1:14" x14ac:dyDescent="0.25">
      <c r="A76" s="195">
        <v>30900</v>
      </c>
      <c r="B76" s="197" t="s">
        <v>274</v>
      </c>
      <c r="C76" s="182">
        <v>30409874</v>
      </c>
      <c r="D76" s="182">
        <v>295240</v>
      </c>
      <c r="E76" s="182">
        <v>263336</v>
      </c>
      <c r="F76" s="182">
        <v>2434706</v>
      </c>
      <c r="G76" s="182">
        <v>0</v>
      </c>
      <c r="H76" s="182">
        <v>84147</v>
      </c>
      <c r="I76" s="234"/>
      <c r="J76" s="182">
        <v>13840250</v>
      </c>
      <c r="K76" s="182">
        <v>2601506</v>
      </c>
      <c r="L76" s="182">
        <v>-3391421</v>
      </c>
      <c r="M76" s="182">
        <v>-1165326</v>
      </c>
      <c r="N76" s="182">
        <f t="shared" si="10"/>
        <v>-4556747</v>
      </c>
    </row>
    <row r="77" spans="1:14" x14ac:dyDescent="0.25">
      <c r="A77" s="195">
        <v>30905</v>
      </c>
      <c r="B77" s="197" t="s">
        <v>57</v>
      </c>
      <c r="C77" s="199">
        <v>5678782</v>
      </c>
      <c r="D77" s="199">
        <v>55133</v>
      </c>
      <c r="E77" s="199">
        <v>49176</v>
      </c>
      <c r="F77" s="199">
        <v>454660</v>
      </c>
      <c r="G77" s="199">
        <v>82609</v>
      </c>
      <c r="H77" s="199">
        <v>15714</v>
      </c>
      <c r="I77" s="231"/>
      <c r="J77" s="199">
        <v>2584547</v>
      </c>
      <c r="K77" s="199">
        <v>502595</v>
      </c>
      <c r="L77" s="199">
        <v>-633317</v>
      </c>
      <c r="M77" s="199">
        <v>-350508</v>
      </c>
      <c r="N77" s="182">
        <f t="shared" si="10"/>
        <v>-983825</v>
      </c>
    </row>
    <row r="78" spans="1:14" x14ac:dyDescent="0.25">
      <c r="A78" s="195">
        <v>31000</v>
      </c>
      <c r="B78" s="197" t="s">
        <v>275</v>
      </c>
      <c r="C78" s="199">
        <v>100857612</v>
      </c>
      <c r="D78" s="199">
        <v>979194</v>
      </c>
      <c r="E78" s="199">
        <v>873383</v>
      </c>
      <c r="F78" s="199">
        <v>8074962</v>
      </c>
      <c r="G78" s="199">
        <v>4261232</v>
      </c>
      <c r="H78" s="199">
        <v>279083</v>
      </c>
      <c r="I78" s="231"/>
      <c r="J78" s="199">
        <v>45902674</v>
      </c>
      <c r="K78" s="199">
        <v>4445569</v>
      </c>
      <c r="L78" s="199">
        <v>-11248011</v>
      </c>
      <c r="M78" s="199">
        <v>657018</v>
      </c>
      <c r="N78" s="182">
        <f t="shared" si="10"/>
        <v>-10590993</v>
      </c>
    </row>
    <row r="79" spans="1:14" x14ac:dyDescent="0.25">
      <c r="A79" s="195">
        <v>31005</v>
      </c>
      <c r="B79" s="197" t="s">
        <v>58</v>
      </c>
      <c r="C79" s="199">
        <v>9252248</v>
      </c>
      <c r="D79" s="199">
        <v>89827</v>
      </c>
      <c r="E79" s="199">
        <v>80120</v>
      </c>
      <c r="F79" s="199">
        <v>740763</v>
      </c>
      <c r="G79" s="199">
        <v>737988</v>
      </c>
      <c r="H79" s="199">
        <v>25602</v>
      </c>
      <c r="I79" s="231"/>
      <c r="J79" s="199">
        <v>4210916</v>
      </c>
      <c r="K79" s="199">
        <v>329829</v>
      </c>
      <c r="L79" s="199">
        <v>-1031845</v>
      </c>
      <c r="M79" s="199">
        <v>-122322</v>
      </c>
      <c r="N79" s="182">
        <f t="shared" si="10"/>
        <v>-1154167</v>
      </c>
    </row>
    <row r="80" spans="1:14" x14ac:dyDescent="0.25">
      <c r="A80" s="195">
        <v>31100</v>
      </c>
      <c r="B80" s="197" t="s">
        <v>276</v>
      </c>
      <c r="C80" s="199">
        <v>197481505</v>
      </c>
      <c r="D80" s="199">
        <v>1917284</v>
      </c>
      <c r="E80" s="199">
        <v>1710104</v>
      </c>
      <c r="F80" s="199">
        <v>15810960</v>
      </c>
      <c r="G80" s="199">
        <v>0</v>
      </c>
      <c r="H80" s="199">
        <v>546452</v>
      </c>
      <c r="I80" s="231"/>
      <c r="J80" s="199">
        <v>89878483</v>
      </c>
      <c r="K80" s="199">
        <v>15531798</v>
      </c>
      <c r="L80" s="199">
        <v>-22023862</v>
      </c>
      <c r="M80" s="199">
        <v>-2798021</v>
      </c>
      <c r="N80" s="182">
        <f t="shared" si="10"/>
        <v>-24821883</v>
      </c>
    </row>
    <row r="81" spans="1:14" x14ac:dyDescent="0.25">
      <c r="A81" s="195">
        <v>31101</v>
      </c>
      <c r="B81" s="197" t="s">
        <v>460</v>
      </c>
      <c r="C81" s="199">
        <v>1320232</v>
      </c>
      <c r="D81" s="199">
        <v>12818</v>
      </c>
      <c r="E81" s="199">
        <v>11433</v>
      </c>
      <c r="F81" s="199">
        <v>105702</v>
      </c>
      <c r="G81" s="199">
        <v>157852</v>
      </c>
      <c r="H81" s="199">
        <v>3653</v>
      </c>
      <c r="I81" s="231"/>
      <c r="J81" s="199">
        <v>600869</v>
      </c>
      <c r="K81" s="199">
        <v>161373</v>
      </c>
      <c r="L81" s="199">
        <v>-147238</v>
      </c>
      <c r="M81" s="199">
        <v>-22789</v>
      </c>
      <c r="N81" s="182">
        <f t="shared" si="10"/>
        <v>-170027</v>
      </c>
    </row>
    <row r="82" spans="1:14" x14ac:dyDescent="0.25">
      <c r="A82" s="195">
        <v>31102</v>
      </c>
      <c r="B82" s="197" t="s">
        <v>277</v>
      </c>
      <c r="C82" s="182">
        <v>3511689</v>
      </c>
      <c r="D82" s="182">
        <v>34094</v>
      </c>
      <c r="E82" s="182">
        <v>30410</v>
      </c>
      <c r="F82" s="182">
        <v>281156</v>
      </c>
      <c r="G82" s="182">
        <v>130574</v>
      </c>
      <c r="H82" s="182">
        <v>9717</v>
      </c>
      <c r="I82" s="234"/>
      <c r="J82" s="182">
        <v>1598252</v>
      </c>
      <c r="K82" s="182">
        <v>459006</v>
      </c>
      <c r="L82" s="182">
        <v>-391636</v>
      </c>
      <c r="M82" s="182">
        <v>-7903</v>
      </c>
      <c r="N82" s="182">
        <f t="shared" si="10"/>
        <v>-399539</v>
      </c>
    </row>
    <row r="83" spans="1:14" x14ac:dyDescent="0.25">
      <c r="A83" s="195">
        <v>31105</v>
      </c>
      <c r="B83" s="197" t="s">
        <v>59</v>
      </c>
      <c r="C83" s="199">
        <v>30189316</v>
      </c>
      <c r="D83" s="199">
        <v>293098</v>
      </c>
      <c r="E83" s="199">
        <v>261426</v>
      </c>
      <c r="F83" s="199">
        <v>2417047</v>
      </c>
      <c r="G83" s="199">
        <v>969395</v>
      </c>
      <c r="H83" s="199">
        <v>83537</v>
      </c>
      <c r="I83" s="231"/>
      <c r="J83" s="199">
        <v>13739868</v>
      </c>
      <c r="K83" s="199">
        <v>2319359</v>
      </c>
      <c r="L83" s="199">
        <v>-3366823</v>
      </c>
      <c r="M83" s="199">
        <v>-762966</v>
      </c>
      <c r="N83" s="182">
        <f t="shared" si="10"/>
        <v>-4129789</v>
      </c>
    </row>
    <row r="84" spans="1:14" x14ac:dyDescent="0.25">
      <c r="A84" s="195">
        <v>31110</v>
      </c>
      <c r="B84" s="197" t="s">
        <v>278</v>
      </c>
      <c r="C84" s="199">
        <v>47884123</v>
      </c>
      <c r="D84" s="199">
        <v>464892</v>
      </c>
      <c r="E84" s="199">
        <v>414656</v>
      </c>
      <c r="F84" s="199">
        <v>3833746</v>
      </c>
      <c r="G84" s="199">
        <v>647712</v>
      </c>
      <c r="H84" s="199">
        <v>132500</v>
      </c>
      <c r="I84" s="231"/>
      <c r="J84" s="199">
        <v>21793192</v>
      </c>
      <c r="K84" s="199">
        <v>3526055</v>
      </c>
      <c r="L84" s="199">
        <v>-5340214</v>
      </c>
      <c r="M84" s="199">
        <v>-143608</v>
      </c>
      <c r="N84" s="182">
        <f t="shared" si="10"/>
        <v>-5483822</v>
      </c>
    </row>
    <row r="85" spans="1:14" x14ac:dyDescent="0.25">
      <c r="A85" s="195">
        <v>31200</v>
      </c>
      <c r="B85" s="197" t="s">
        <v>279</v>
      </c>
      <c r="C85" s="199">
        <v>87201491</v>
      </c>
      <c r="D85" s="199">
        <v>846611</v>
      </c>
      <c r="E85" s="199">
        <v>755127</v>
      </c>
      <c r="F85" s="199">
        <v>6981612</v>
      </c>
      <c r="G85" s="199">
        <v>5412694</v>
      </c>
      <c r="H85" s="199">
        <v>241296</v>
      </c>
      <c r="I85" s="231"/>
      <c r="J85" s="199">
        <v>39687452</v>
      </c>
      <c r="K85" s="199">
        <v>9679035</v>
      </c>
      <c r="L85" s="199">
        <v>-9725032</v>
      </c>
      <c r="M85" s="199">
        <v>-2981538</v>
      </c>
      <c r="N85" s="182">
        <f t="shared" si="10"/>
        <v>-12706570</v>
      </c>
    </row>
    <row r="86" spans="1:14" x14ac:dyDescent="0.25">
      <c r="A86" s="195">
        <v>31205</v>
      </c>
      <c r="B86" s="197" t="s">
        <v>461</v>
      </c>
      <c r="C86" s="199">
        <v>9569955</v>
      </c>
      <c r="D86" s="199">
        <v>92912</v>
      </c>
      <c r="E86" s="199">
        <v>82872</v>
      </c>
      <c r="F86" s="199">
        <v>766199</v>
      </c>
      <c r="G86" s="199">
        <v>367820</v>
      </c>
      <c r="H86" s="199">
        <v>26481</v>
      </c>
      <c r="I86" s="231"/>
      <c r="J86" s="199">
        <v>4355512</v>
      </c>
      <c r="K86" s="199">
        <v>940248</v>
      </c>
      <c r="L86" s="199">
        <v>-1067277</v>
      </c>
      <c r="M86" s="199">
        <v>-671287</v>
      </c>
      <c r="N86" s="182">
        <f t="shared" si="10"/>
        <v>-1738564</v>
      </c>
    </row>
    <row r="87" spans="1:14" x14ac:dyDescent="0.25">
      <c r="A87" s="195">
        <v>31300</v>
      </c>
      <c r="B87" s="197" t="s">
        <v>280</v>
      </c>
      <c r="C87" s="199">
        <v>263537282</v>
      </c>
      <c r="D87" s="199">
        <v>2558599</v>
      </c>
      <c r="E87" s="199">
        <v>2282119</v>
      </c>
      <c r="F87" s="199">
        <v>21099584</v>
      </c>
      <c r="G87" s="199">
        <v>7709995</v>
      </c>
      <c r="H87" s="199">
        <v>729235</v>
      </c>
      <c r="I87" s="231"/>
      <c r="J87" s="199">
        <v>119942022</v>
      </c>
      <c r="K87" s="199">
        <v>7957237</v>
      </c>
      <c r="L87" s="199">
        <v>-29390647</v>
      </c>
      <c r="M87" s="199">
        <v>3786615</v>
      </c>
      <c r="N87" s="182">
        <f t="shared" si="10"/>
        <v>-25604032</v>
      </c>
    </row>
    <row r="88" spans="1:14" x14ac:dyDescent="0.25">
      <c r="A88" s="4">
        <v>31301</v>
      </c>
      <c r="B88" s="198" t="s">
        <v>281</v>
      </c>
      <c r="C88" s="183">
        <v>4893231</v>
      </c>
      <c r="D88" s="183">
        <v>47507</v>
      </c>
      <c r="E88" s="183">
        <v>42373</v>
      </c>
      <c r="F88" s="183">
        <v>391767</v>
      </c>
      <c r="G88" s="183">
        <v>0</v>
      </c>
      <c r="H88" s="183">
        <v>13540</v>
      </c>
      <c r="I88" s="232"/>
      <c r="J88" s="183">
        <v>2227025</v>
      </c>
      <c r="K88" s="183">
        <v>1027914</v>
      </c>
      <c r="L88" s="183">
        <v>-545711</v>
      </c>
      <c r="M88" s="183">
        <v>26688</v>
      </c>
      <c r="N88" s="184">
        <f t="shared" si="10"/>
        <v>-519023</v>
      </c>
    </row>
    <row r="89" spans="1:14" x14ac:dyDescent="0.25">
      <c r="A89" s="4">
        <v>31320</v>
      </c>
      <c r="B89" s="198" t="s">
        <v>282</v>
      </c>
      <c r="C89" s="183">
        <v>43013886</v>
      </c>
      <c r="D89" s="183">
        <v>417608</v>
      </c>
      <c r="E89" s="183">
        <v>372482</v>
      </c>
      <c r="F89" s="183">
        <v>3443820</v>
      </c>
      <c r="G89" s="183">
        <v>617848</v>
      </c>
      <c r="H89" s="183">
        <v>119024</v>
      </c>
      <c r="I89" s="232"/>
      <c r="J89" s="183">
        <v>19576632</v>
      </c>
      <c r="K89" s="183">
        <v>3810032</v>
      </c>
      <c r="L89" s="183">
        <v>-4797065</v>
      </c>
      <c r="M89" s="183">
        <v>-1065039</v>
      </c>
      <c r="N89" s="184">
        <f t="shared" si="10"/>
        <v>-5862104</v>
      </c>
    </row>
    <row r="90" spans="1:14" x14ac:dyDescent="0.25">
      <c r="A90" s="4">
        <v>31400</v>
      </c>
      <c r="B90" s="198" t="s">
        <v>283</v>
      </c>
      <c r="C90" s="183">
        <v>86322832</v>
      </c>
      <c r="D90" s="183">
        <v>838081</v>
      </c>
      <c r="E90" s="183">
        <v>747518</v>
      </c>
      <c r="F90" s="183">
        <v>6911264</v>
      </c>
      <c r="G90" s="183">
        <v>6582360</v>
      </c>
      <c r="H90" s="183">
        <v>238864</v>
      </c>
      <c r="I90" s="232"/>
      <c r="J90" s="183">
        <v>39287553</v>
      </c>
      <c r="K90" s="183">
        <v>14687132</v>
      </c>
      <c r="L90" s="183">
        <v>-9627041</v>
      </c>
      <c r="M90" s="183">
        <v>-2683450</v>
      </c>
      <c r="N90" s="184">
        <f t="shared" si="10"/>
        <v>-12310491</v>
      </c>
    </row>
    <row r="91" spans="1:14" x14ac:dyDescent="0.25">
      <c r="A91" s="4">
        <v>31405</v>
      </c>
      <c r="B91" s="198" t="s">
        <v>61</v>
      </c>
      <c r="C91" s="184">
        <v>17892586</v>
      </c>
      <c r="D91" s="184">
        <v>173713</v>
      </c>
      <c r="E91" s="184">
        <v>154942</v>
      </c>
      <c r="F91" s="184">
        <v>1432534</v>
      </c>
      <c r="G91" s="184">
        <v>1465265</v>
      </c>
      <c r="H91" s="184">
        <v>49511</v>
      </c>
      <c r="I91" s="233"/>
      <c r="J91" s="184">
        <v>8143337</v>
      </c>
      <c r="K91" s="184">
        <v>1406588</v>
      </c>
      <c r="L91" s="184">
        <v>-1995446</v>
      </c>
      <c r="M91" s="184">
        <v>-323052</v>
      </c>
      <c r="N91" s="184">
        <f t="shared" si="10"/>
        <v>-2318498</v>
      </c>
    </row>
    <row r="92" spans="1:14" x14ac:dyDescent="0.25">
      <c r="A92" s="4">
        <v>31500</v>
      </c>
      <c r="B92" s="198" t="s">
        <v>284</v>
      </c>
      <c r="C92" s="183">
        <v>16236117</v>
      </c>
      <c r="D92" s="183">
        <v>157631</v>
      </c>
      <c r="E92" s="183">
        <v>140598</v>
      </c>
      <c r="F92" s="183">
        <v>1299912</v>
      </c>
      <c r="G92" s="183">
        <v>2759972</v>
      </c>
      <c r="H92" s="183">
        <v>44927</v>
      </c>
      <c r="I92" s="233"/>
      <c r="J92" s="183">
        <v>7389439</v>
      </c>
      <c r="K92" s="183">
        <v>822359</v>
      </c>
      <c r="L92" s="183">
        <v>-1810711</v>
      </c>
      <c r="M92" s="183">
        <v>460993</v>
      </c>
      <c r="N92" s="184">
        <f t="shared" si="10"/>
        <v>-1349718</v>
      </c>
    </row>
    <row r="93" spans="1:14" x14ac:dyDescent="0.25">
      <c r="A93" s="4">
        <v>31600</v>
      </c>
      <c r="B93" s="198" t="s">
        <v>285</v>
      </c>
      <c r="C93" s="183">
        <v>70391130</v>
      </c>
      <c r="D93" s="183">
        <v>683405</v>
      </c>
      <c r="E93" s="183">
        <v>609557</v>
      </c>
      <c r="F93" s="183">
        <v>5635725</v>
      </c>
      <c r="G93" s="183">
        <v>8011280</v>
      </c>
      <c r="H93" s="183">
        <v>194780</v>
      </c>
      <c r="I93" s="232"/>
      <c r="J93" s="183">
        <v>32036661</v>
      </c>
      <c r="K93" s="183">
        <v>5099995</v>
      </c>
      <c r="L93" s="183">
        <v>-7850279</v>
      </c>
      <c r="M93" s="183">
        <v>570199</v>
      </c>
      <c r="N93" s="184">
        <f t="shared" si="10"/>
        <v>-7280080</v>
      </c>
    </row>
    <row r="94" spans="1:14" x14ac:dyDescent="0.25">
      <c r="A94" s="195">
        <v>31605</v>
      </c>
      <c r="B94" s="197" t="s">
        <v>62</v>
      </c>
      <c r="C94" s="182">
        <v>10027293</v>
      </c>
      <c r="D94" s="182">
        <v>97352</v>
      </c>
      <c r="E94" s="182">
        <v>86832</v>
      </c>
      <c r="F94" s="182">
        <v>802815</v>
      </c>
      <c r="G94" s="182">
        <v>627647</v>
      </c>
      <c r="H94" s="182">
        <v>27747</v>
      </c>
      <c r="I94" s="234"/>
      <c r="J94" s="182">
        <v>4563657</v>
      </c>
      <c r="K94" s="182">
        <v>58319</v>
      </c>
      <c r="L94" s="182">
        <v>-1118279</v>
      </c>
      <c r="M94" s="182">
        <v>226595</v>
      </c>
      <c r="N94" s="182">
        <f t="shared" si="10"/>
        <v>-891684</v>
      </c>
    </row>
    <row r="95" spans="1:14" x14ac:dyDescent="0.25">
      <c r="A95" s="195">
        <v>31700</v>
      </c>
      <c r="B95" s="197" t="s">
        <v>286</v>
      </c>
      <c r="C95" s="199">
        <v>17308962</v>
      </c>
      <c r="D95" s="199">
        <v>168047</v>
      </c>
      <c r="E95" s="199">
        <v>149888</v>
      </c>
      <c r="F95" s="199">
        <v>1385807</v>
      </c>
      <c r="G95" s="199">
        <v>61414</v>
      </c>
      <c r="H95" s="199">
        <v>47896</v>
      </c>
      <c r="I95" s="231"/>
      <c r="J95" s="199">
        <v>7877716</v>
      </c>
      <c r="K95" s="199">
        <v>3291046</v>
      </c>
      <c r="L95" s="199">
        <v>-1930360</v>
      </c>
      <c r="M95" s="199">
        <v>-706617</v>
      </c>
      <c r="N95" s="182">
        <f t="shared" si="10"/>
        <v>-2636977</v>
      </c>
    </row>
    <row r="96" spans="1:14" x14ac:dyDescent="0.25">
      <c r="A96" s="195">
        <v>31800</v>
      </c>
      <c r="B96" s="197" t="s">
        <v>287</v>
      </c>
      <c r="C96" s="199">
        <v>121091944</v>
      </c>
      <c r="D96" s="199">
        <v>1175643</v>
      </c>
      <c r="E96" s="199">
        <v>1048604</v>
      </c>
      <c r="F96" s="199">
        <v>9694983</v>
      </c>
      <c r="G96" s="199">
        <v>13524806</v>
      </c>
      <c r="H96" s="199">
        <v>335074</v>
      </c>
      <c r="I96" s="231"/>
      <c r="J96" s="199">
        <v>55111795</v>
      </c>
      <c r="K96" s="199">
        <v>11726569</v>
      </c>
      <c r="L96" s="199">
        <v>-13504620</v>
      </c>
      <c r="M96" s="199">
        <v>-1423859</v>
      </c>
      <c r="N96" s="182">
        <f t="shared" si="10"/>
        <v>-14928479</v>
      </c>
    </row>
    <row r="97" spans="1:14" x14ac:dyDescent="0.25">
      <c r="A97" s="195">
        <v>31805</v>
      </c>
      <c r="B97" s="197" t="s">
        <v>63</v>
      </c>
      <c r="C97" s="199">
        <v>26055920</v>
      </c>
      <c r="D97" s="199">
        <v>252969</v>
      </c>
      <c r="E97" s="199">
        <v>225633</v>
      </c>
      <c r="F97" s="199">
        <v>2086115</v>
      </c>
      <c r="G97" s="199">
        <v>3392011</v>
      </c>
      <c r="H97" s="199">
        <v>72099</v>
      </c>
      <c r="I97" s="231"/>
      <c r="J97" s="199">
        <v>11858663</v>
      </c>
      <c r="K97" s="199">
        <v>116310</v>
      </c>
      <c r="L97" s="199">
        <v>-2905852</v>
      </c>
      <c r="M97" s="199">
        <v>931224</v>
      </c>
      <c r="N97" s="182">
        <f t="shared" si="10"/>
        <v>-1974628</v>
      </c>
    </row>
    <row r="98" spans="1:14" x14ac:dyDescent="0.25">
      <c r="A98" s="195">
        <v>31810</v>
      </c>
      <c r="B98" s="197" t="s">
        <v>288</v>
      </c>
      <c r="C98" s="199">
        <v>29054836</v>
      </c>
      <c r="D98" s="199">
        <v>282084</v>
      </c>
      <c r="E98" s="199">
        <v>251602</v>
      </c>
      <c r="F98" s="199">
        <v>2326217</v>
      </c>
      <c r="G98" s="199">
        <v>325580</v>
      </c>
      <c r="H98" s="199">
        <v>80398</v>
      </c>
      <c r="I98" s="231"/>
      <c r="J98" s="199">
        <v>13223540</v>
      </c>
      <c r="K98" s="199">
        <v>2859317</v>
      </c>
      <c r="L98" s="199">
        <v>-3240301</v>
      </c>
      <c r="M98" s="199">
        <v>-686959</v>
      </c>
      <c r="N98" s="182">
        <f t="shared" si="10"/>
        <v>-3927260</v>
      </c>
    </row>
    <row r="99" spans="1:14" x14ac:dyDescent="0.25">
      <c r="A99" s="195">
        <v>31820</v>
      </c>
      <c r="B99" s="197" t="s">
        <v>289</v>
      </c>
      <c r="C99" s="199">
        <v>24279767</v>
      </c>
      <c r="D99" s="199">
        <v>235724</v>
      </c>
      <c r="E99" s="199">
        <v>210252</v>
      </c>
      <c r="F99" s="199">
        <v>1943911</v>
      </c>
      <c r="G99" s="199">
        <v>0</v>
      </c>
      <c r="H99" s="199">
        <v>67185</v>
      </c>
      <c r="I99" s="231"/>
      <c r="J99" s="199">
        <v>11050294</v>
      </c>
      <c r="K99" s="199">
        <v>2864395</v>
      </c>
      <c r="L99" s="199">
        <v>-2707768</v>
      </c>
      <c r="M99" s="199">
        <v>-1171959</v>
      </c>
      <c r="N99" s="182">
        <f t="shared" si="10"/>
        <v>-3879727</v>
      </c>
    </row>
    <row r="100" spans="1:14" x14ac:dyDescent="0.25">
      <c r="A100" s="4">
        <v>31900</v>
      </c>
      <c r="B100" s="198" t="s">
        <v>290</v>
      </c>
      <c r="C100" s="183">
        <v>77271847</v>
      </c>
      <c r="D100" s="183">
        <v>750207</v>
      </c>
      <c r="E100" s="183">
        <v>669141</v>
      </c>
      <c r="F100" s="183">
        <v>6186615</v>
      </c>
      <c r="G100" s="183">
        <v>4151413</v>
      </c>
      <c r="H100" s="183">
        <v>213819</v>
      </c>
      <c r="I100" s="232"/>
      <c r="J100" s="183">
        <v>35168237</v>
      </c>
      <c r="K100" s="183">
        <v>4410950</v>
      </c>
      <c r="L100" s="183">
        <v>-8617641</v>
      </c>
      <c r="M100" s="183">
        <v>984135</v>
      </c>
      <c r="N100" s="184">
        <f t="shared" si="10"/>
        <v>-7633506</v>
      </c>
    </row>
    <row r="101" spans="1:14" x14ac:dyDescent="0.25">
      <c r="A101" s="4">
        <v>32000</v>
      </c>
      <c r="B101" s="198" t="s">
        <v>291</v>
      </c>
      <c r="C101" s="183">
        <v>28704259</v>
      </c>
      <c r="D101" s="183">
        <v>278680</v>
      </c>
      <c r="E101" s="183">
        <v>248566</v>
      </c>
      <c r="F101" s="183">
        <v>2298149</v>
      </c>
      <c r="G101" s="183">
        <v>319960</v>
      </c>
      <c r="H101" s="183">
        <v>79428</v>
      </c>
      <c r="I101" s="232"/>
      <c r="J101" s="183">
        <v>13063984</v>
      </c>
      <c r="K101" s="183">
        <v>2533809</v>
      </c>
      <c r="L101" s="183">
        <v>-3201205</v>
      </c>
      <c r="M101" s="183">
        <v>-259771</v>
      </c>
      <c r="N101" s="184">
        <f t="shared" si="10"/>
        <v>-3460976</v>
      </c>
    </row>
    <row r="102" spans="1:14" x14ac:dyDescent="0.25">
      <c r="A102" s="4">
        <v>32005</v>
      </c>
      <c r="B102" s="198" t="s">
        <v>64</v>
      </c>
      <c r="C102" s="183">
        <v>7515665</v>
      </c>
      <c r="D102" s="183">
        <v>72967</v>
      </c>
      <c r="E102" s="183">
        <v>65082</v>
      </c>
      <c r="F102" s="183">
        <v>601727</v>
      </c>
      <c r="G102" s="183">
        <v>1640604</v>
      </c>
      <c r="H102" s="183">
        <v>20797</v>
      </c>
      <c r="I102" s="232"/>
      <c r="J102" s="183">
        <v>3420556</v>
      </c>
      <c r="K102" s="183">
        <v>290348</v>
      </c>
      <c r="L102" s="183">
        <v>-838175</v>
      </c>
      <c r="M102" s="183">
        <v>260601</v>
      </c>
      <c r="N102" s="184">
        <f t="shared" si="10"/>
        <v>-577574</v>
      </c>
    </row>
    <row r="103" spans="1:14" x14ac:dyDescent="0.25">
      <c r="A103" s="4">
        <v>32100</v>
      </c>
      <c r="B103" s="198" t="s">
        <v>292</v>
      </c>
      <c r="C103" s="184">
        <v>16088335</v>
      </c>
      <c r="D103" s="184">
        <v>156196</v>
      </c>
      <c r="E103" s="184">
        <v>139318</v>
      </c>
      <c r="F103" s="184">
        <v>1288080</v>
      </c>
      <c r="G103" s="184">
        <v>617092</v>
      </c>
      <c r="H103" s="184">
        <v>44518</v>
      </c>
      <c r="I103" s="233"/>
      <c r="J103" s="184">
        <v>7322180</v>
      </c>
      <c r="K103" s="184">
        <v>1918739</v>
      </c>
      <c r="L103" s="184">
        <v>-1794231</v>
      </c>
      <c r="M103" s="184">
        <v>-661561</v>
      </c>
      <c r="N103" s="184">
        <f t="shared" si="10"/>
        <v>-2455792</v>
      </c>
    </row>
    <row r="104" spans="1:14" x14ac:dyDescent="0.25">
      <c r="A104" s="4">
        <v>32200</v>
      </c>
      <c r="B104" s="198" t="s">
        <v>293</v>
      </c>
      <c r="C104" s="183">
        <v>11715538</v>
      </c>
      <c r="D104" s="183">
        <v>113742</v>
      </c>
      <c r="E104" s="183">
        <v>101451</v>
      </c>
      <c r="F104" s="183">
        <v>937981</v>
      </c>
      <c r="G104" s="183">
        <v>1014642</v>
      </c>
      <c r="H104" s="183">
        <v>32418</v>
      </c>
      <c r="I104" s="233"/>
      <c r="J104" s="183">
        <v>5332017</v>
      </c>
      <c r="K104" s="183">
        <v>803550</v>
      </c>
      <c r="L104" s="183">
        <v>-1306561</v>
      </c>
      <c r="M104" s="183">
        <v>124225</v>
      </c>
      <c r="N104" s="184">
        <f t="shared" si="10"/>
        <v>-1182336</v>
      </c>
    </row>
    <row r="105" spans="1:14" x14ac:dyDescent="0.25">
      <c r="A105" s="4">
        <v>32300</v>
      </c>
      <c r="B105" s="198" t="s">
        <v>294</v>
      </c>
      <c r="C105" s="183">
        <v>117601821</v>
      </c>
      <c r="D105" s="203">
        <v>1141758</v>
      </c>
      <c r="E105" s="203">
        <v>1018381</v>
      </c>
      <c r="F105" s="183">
        <v>9415554</v>
      </c>
      <c r="G105" s="203">
        <v>8488968</v>
      </c>
      <c r="H105" s="183">
        <v>325416</v>
      </c>
      <c r="I105" s="232"/>
      <c r="J105" s="183">
        <v>53523358</v>
      </c>
      <c r="K105" s="183">
        <v>15581584</v>
      </c>
      <c r="L105" s="183">
        <v>-13115386</v>
      </c>
      <c r="M105" s="183">
        <v>-3556438</v>
      </c>
      <c r="N105" s="184">
        <f t="shared" si="10"/>
        <v>-16671824</v>
      </c>
    </row>
    <row r="106" spans="1:14" x14ac:dyDescent="0.25">
      <c r="A106" s="195">
        <v>32305</v>
      </c>
      <c r="B106" s="197" t="s">
        <v>65</v>
      </c>
      <c r="C106" s="182">
        <v>12641071</v>
      </c>
      <c r="D106" s="182">
        <v>122728</v>
      </c>
      <c r="E106" s="182">
        <v>109466</v>
      </c>
      <c r="F106" s="182">
        <v>1012082</v>
      </c>
      <c r="G106" s="182">
        <v>1013814</v>
      </c>
      <c r="H106" s="182">
        <v>34979</v>
      </c>
      <c r="I106" s="234"/>
      <c r="J106" s="182">
        <v>5753249</v>
      </c>
      <c r="K106" s="182">
        <v>904147</v>
      </c>
      <c r="L106" s="182">
        <v>-1409779</v>
      </c>
      <c r="M106" s="182">
        <v>-165642</v>
      </c>
      <c r="N106" s="182">
        <f t="shared" si="10"/>
        <v>-1575421</v>
      </c>
    </row>
    <row r="107" spans="1:14" x14ac:dyDescent="0.25">
      <c r="A107" s="195">
        <v>32400</v>
      </c>
      <c r="B107" s="197" t="s">
        <v>295</v>
      </c>
      <c r="C107" s="199">
        <v>40113766</v>
      </c>
      <c r="D107" s="199">
        <v>389452</v>
      </c>
      <c r="E107" s="199">
        <v>347368</v>
      </c>
      <c r="F107" s="199">
        <v>3211628</v>
      </c>
      <c r="G107" s="199">
        <v>2035968</v>
      </c>
      <c r="H107" s="199">
        <v>110999</v>
      </c>
      <c r="I107" s="231"/>
      <c r="J107" s="199">
        <v>18256720</v>
      </c>
      <c r="K107" s="199">
        <v>5739587</v>
      </c>
      <c r="L107" s="199">
        <v>-4473635</v>
      </c>
      <c r="M107" s="199">
        <v>-1567040</v>
      </c>
      <c r="N107" s="182">
        <f t="shared" si="10"/>
        <v>-6040675</v>
      </c>
    </row>
    <row r="108" spans="1:14" x14ac:dyDescent="0.25">
      <c r="A108" s="195">
        <v>32405</v>
      </c>
      <c r="B108" s="197" t="s">
        <v>66</v>
      </c>
      <c r="C108" s="199">
        <v>9694723</v>
      </c>
      <c r="D108" s="199">
        <v>94123</v>
      </c>
      <c r="E108" s="199">
        <v>83952</v>
      </c>
      <c r="F108" s="199">
        <v>776189</v>
      </c>
      <c r="G108" s="199">
        <v>37619</v>
      </c>
      <c r="H108" s="199">
        <v>26826</v>
      </c>
      <c r="I108" s="231"/>
      <c r="J108" s="199">
        <v>4412297</v>
      </c>
      <c r="K108" s="199">
        <v>1759946</v>
      </c>
      <c r="L108" s="199">
        <v>-1081192</v>
      </c>
      <c r="M108" s="199">
        <v>-464170</v>
      </c>
      <c r="N108" s="182">
        <f t="shared" si="10"/>
        <v>-1545362</v>
      </c>
    </row>
    <row r="109" spans="1:14" x14ac:dyDescent="0.25">
      <c r="A109" s="195">
        <v>32410</v>
      </c>
      <c r="B109" s="197" t="s">
        <v>296</v>
      </c>
      <c r="C109" s="199">
        <v>18716993</v>
      </c>
      <c r="D109" s="199">
        <v>181717</v>
      </c>
      <c r="E109" s="199">
        <v>162081</v>
      </c>
      <c r="F109" s="199">
        <v>1498538</v>
      </c>
      <c r="G109" s="199">
        <v>2539506</v>
      </c>
      <c r="H109" s="199">
        <v>51792</v>
      </c>
      <c r="I109" s="231"/>
      <c r="J109" s="199">
        <v>8518544</v>
      </c>
      <c r="K109" s="199">
        <v>817236</v>
      </c>
      <c r="L109" s="199">
        <v>-2087387</v>
      </c>
      <c r="M109" s="199">
        <v>208565</v>
      </c>
      <c r="N109" s="182">
        <f t="shared" si="10"/>
        <v>-1878822</v>
      </c>
    </row>
    <row r="110" spans="1:14" x14ac:dyDescent="0.25">
      <c r="A110" s="195">
        <v>32500</v>
      </c>
      <c r="B110" s="197" t="s">
        <v>462</v>
      </c>
      <c r="C110" s="199">
        <v>96957952</v>
      </c>
      <c r="D110" s="199">
        <v>941333</v>
      </c>
      <c r="E110" s="199">
        <v>839614</v>
      </c>
      <c r="F110" s="199">
        <v>7762744</v>
      </c>
      <c r="G110" s="199">
        <v>1189866</v>
      </c>
      <c r="H110" s="199">
        <v>268293</v>
      </c>
      <c r="I110" s="231"/>
      <c r="J110" s="199">
        <v>44127847</v>
      </c>
      <c r="K110" s="199">
        <v>6247234</v>
      </c>
      <c r="L110" s="199">
        <v>-10813107</v>
      </c>
      <c r="M110" s="199">
        <v>-2371008</v>
      </c>
      <c r="N110" s="182">
        <f t="shared" si="10"/>
        <v>-13184115</v>
      </c>
    </row>
    <row r="111" spans="1:14" x14ac:dyDescent="0.25">
      <c r="A111" s="195">
        <v>32505</v>
      </c>
      <c r="B111" s="197" t="s">
        <v>67</v>
      </c>
      <c r="C111" s="199">
        <v>15239951</v>
      </c>
      <c r="D111" s="199">
        <v>147960</v>
      </c>
      <c r="E111" s="199">
        <v>131971</v>
      </c>
      <c r="F111" s="199">
        <v>1220156</v>
      </c>
      <c r="G111" s="199">
        <v>1578185</v>
      </c>
      <c r="H111" s="199">
        <v>42171</v>
      </c>
      <c r="I111" s="231"/>
      <c r="J111" s="199">
        <v>6936060</v>
      </c>
      <c r="K111" s="199">
        <v>995331</v>
      </c>
      <c r="L111" s="199">
        <v>-1699616</v>
      </c>
      <c r="M111" s="199">
        <v>36008</v>
      </c>
      <c r="N111" s="182">
        <f t="shared" si="10"/>
        <v>-1663608</v>
      </c>
    </row>
    <row r="112" spans="1:14" x14ac:dyDescent="0.25">
      <c r="A112" s="4">
        <v>32600</v>
      </c>
      <c r="B112" s="198" t="s">
        <v>297</v>
      </c>
      <c r="C112" s="183">
        <v>376490705</v>
      </c>
      <c r="D112" s="183">
        <v>3655227</v>
      </c>
      <c r="E112" s="183">
        <v>3260247</v>
      </c>
      <c r="F112" s="183">
        <v>30142973</v>
      </c>
      <c r="G112" s="183">
        <v>35678996</v>
      </c>
      <c r="H112" s="183">
        <v>1041789</v>
      </c>
      <c r="I112" s="232"/>
      <c r="J112" s="183">
        <v>171349785</v>
      </c>
      <c r="K112" s="183">
        <v>19962097</v>
      </c>
      <c r="L112" s="183">
        <v>-41987629</v>
      </c>
      <c r="M112" s="183">
        <v>227329</v>
      </c>
      <c r="N112" s="184">
        <f t="shared" si="10"/>
        <v>-41760300</v>
      </c>
    </row>
    <row r="113" spans="1:14" x14ac:dyDescent="0.25">
      <c r="A113" s="4">
        <v>32605</v>
      </c>
      <c r="B113" s="198" t="s">
        <v>68</v>
      </c>
      <c r="C113" s="183">
        <v>56530015</v>
      </c>
      <c r="D113" s="183">
        <v>548832</v>
      </c>
      <c r="E113" s="183">
        <v>489525</v>
      </c>
      <c r="F113" s="183">
        <v>4525962</v>
      </c>
      <c r="G113" s="183">
        <v>6482191</v>
      </c>
      <c r="H113" s="183">
        <v>156424</v>
      </c>
      <c r="I113" s="232"/>
      <c r="J113" s="183">
        <v>25728141</v>
      </c>
      <c r="K113" s="183">
        <v>540952</v>
      </c>
      <c r="L113" s="183">
        <v>-6304436</v>
      </c>
      <c r="M113" s="183">
        <v>1034847</v>
      </c>
      <c r="N113" s="184">
        <f t="shared" si="10"/>
        <v>-5269589</v>
      </c>
    </row>
    <row r="114" spans="1:14" x14ac:dyDescent="0.25">
      <c r="A114" s="4">
        <v>32700</v>
      </c>
      <c r="B114" s="198" t="s">
        <v>298</v>
      </c>
      <c r="C114" s="183">
        <v>34504636</v>
      </c>
      <c r="D114" s="183">
        <v>334994</v>
      </c>
      <c r="E114" s="183">
        <v>298795</v>
      </c>
      <c r="F114" s="183">
        <v>2762544</v>
      </c>
      <c r="G114" s="183">
        <v>1919635</v>
      </c>
      <c r="H114" s="183">
        <v>95478</v>
      </c>
      <c r="I114" s="232"/>
      <c r="J114" s="183">
        <v>15703872</v>
      </c>
      <c r="K114" s="183">
        <v>486132</v>
      </c>
      <c r="L114" s="183">
        <v>-3848084</v>
      </c>
      <c r="M114" s="183">
        <v>750007</v>
      </c>
      <c r="N114" s="184">
        <f t="shared" si="10"/>
        <v>-3098077</v>
      </c>
    </row>
    <row r="115" spans="1:14" x14ac:dyDescent="0.25">
      <c r="A115" s="4">
        <v>32800</v>
      </c>
      <c r="B115" s="198" t="s">
        <v>299</v>
      </c>
      <c r="C115" s="184">
        <v>47491103</v>
      </c>
      <c r="D115" s="184">
        <v>461076</v>
      </c>
      <c r="E115" s="184">
        <v>411252</v>
      </c>
      <c r="F115" s="184">
        <v>3802280</v>
      </c>
      <c r="G115" s="184">
        <v>4062317</v>
      </c>
      <c r="H115" s="184">
        <v>131413</v>
      </c>
      <c r="I115" s="233"/>
      <c r="J115" s="184">
        <v>21614319</v>
      </c>
      <c r="K115" s="184">
        <v>2619144</v>
      </c>
      <c r="L115" s="184">
        <v>-5296383</v>
      </c>
      <c r="M115" s="184">
        <v>1520901</v>
      </c>
      <c r="N115" s="184">
        <f t="shared" si="10"/>
        <v>-3775482</v>
      </c>
    </row>
    <row r="116" spans="1:14" x14ac:dyDescent="0.25">
      <c r="A116" s="4">
        <v>32900</v>
      </c>
      <c r="B116" s="198" t="s">
        <v>300</v>
      </c>
      <c r="C116" s="183">
        <v>128611551</v>
      </c>
      <c r="D116" s="183">
        <v>1248648</v>
      </c>
      <c r="E116" s="183">
        <v>1113720</v>
      </c>
      <c r="F116" s="183">
        <v>10297026</v>
      </c>
      <c r="G116" s="183">
        <v>5601856</v>
      </c>
      <c r="H116" s="183">
        <v>355881</v>
      </c>
      <c r="I116" s="233"/>
      <c r="J116" s="183">
        <v>58534145</v>
      </c>
      <c r="K116" s="183">
        <v>14202868</v>
      </c>
      <c r="L116" s="183">
        <v>-14343234</v>
      </c>
      <c r="M116" s="183">
        <v>-2393938</v>
      </c>
      <c r="N116" s="184">
        <f t="shared" si="10"/>
        <v>-16737172</v>
      </c>
    </row>
    <row r="117" spans="1:14" x14ac:dyDescent="0.25">
      <c r="A117" s="4">
        <v>32901</v>
      </c>
      <c r="B117" s="198" t="s">
        <v>429</v>
      </c>
      <c r="C117" s="183">
        <v>2851852</v>
      </c>
      <c r="D117" s="183">
        <v>27688</v>
      </c>
      <c r="E117" s="183">
        <v>24696</v>
      </c>
      <c r="F117" s="183">
        <v>228328</v>
      </c>
      <c r="G117" s="183">
        <v>175575</v>
      </c>
      <c r="H117" s="183">
        <v>7891</v>
      </c>
      <c r="I117" s="232"/>
      <c r="J117" s="183">
        <v>1297945</v>
      </c>
      <c r="K117" s="183">
        <v>839010</v>
      </c>
      <c r="L117" s="183">
        <v>-318050</v>
      </c>
      <c r="M117" s="183">
        <v>-583609</v>
      </c>
      <c r="N117" s="184">
        <f t="shared" si="10"/>
        <v>-901659</v>
      </c>
    </row>
    <row r="118" spans="1:14" x14ac:dyDescent="0.25">
      <c r="A118" s="195">
        <v>32904</v>
      </c>
      <c r="B118" s="197" t="s">
        <v>487</v>
      </c>
      <c r="C118" s="182">
        <v>1244461</v>
      </c>
      <c r="D118" s="182">
        <v>12082</v>
      </c>
      <c r="E118" s="182">
        <v>10776</v>
      </c>
      <c r="F118" s="182">
        <v>99635</v>
      </c>
      <c r="G118" s="182">
        <v>1281456</v>
      </c>
      <c r="H118" s="182">
        <v>3444</v>
      </c>
      <c r="I118" s="234"/>
      <c r="J118" s="182">
        <v>566383</v>
      </c>
      <c r="K118" s="182">
        <v>0</v>
      </c>
      <c r="L118" s="182">
        <v>-138788</v>
      </c>
      <c r="M118" s="182">
        <v>366339</v>
      </c>
      <c r="N118" s="182">
        <f t="shared" si="10"/>
        <v>227551</v>
      </c>
    </row>
    <row r="119" spans="1:14" x14ac:dyDescent="0.25">
      <c r="A119" s="195">
        <v>32905</v>
      </c>
      <c r="B119" s="197" t="s">
        <v>69</v>
      </c>
      <c r="C119" s="199">
        <v>18293537</v>
      </c>
      <c r="D119" s="199">
        <v>177606</v>
      </c>
      <c r="E119" s="199">
        <v>158414</v>
      </c>
      <c r="F119" s="199">
        <v>1464635</v>
      </c>
      <c r="G119" s="199">
        <v>955876</v>
      </c>
      <c r="H119" s="199">
        <v>50620</v>
      </c>
      <c r="I119" s="231"/>
      <c r="J119" s="199">
        <v>8325819</v>
      </c>
      <c r="K119" s="199">
        <v>822500</v>
      </c>
      <c r="L119" s="199">
        <v>-2040163</v>
      </c>
      <c r="M119" s="199">
        <v>-383984</v>
      </c>
      <c r="N119" s="182">
        <f t="shared" si="10"/>
        <v>-2424147</v>
      </c>
    </row>
    <row r="120" spans="1:14" x14ac:dyDescent="0.25">
      <c r="A120" s="195">
        <v>32910</v>
      </c>
      <c r="B120" s="197" t="s">
        <v>301</v>
      </c>
      <c r="C120" s="199">
        <v>24037159</v>
      </c>
      <c r="D120" s="199">
        <v>233369</v>
      </c>
      <c r="E120" s="199">
        <v>208151</v>
      </c>
      <c r="F120" s="199">
        <v>1924487</v>
      </c>
      <c r="G120" s="199">
        <v>1459704</v>
      </c>
      <c r="H120" s="199">
        <v>66513</v>
      </c>
      <c r="I120" s="231"/>
      <c r="J120" s="199">
        <v>10939877</v>
      </c>
      <c r="K120" s="199">
        <v>2731133</v>
      </c>
      <c r="L120" s="199">
        <v>-2680713</v>
      </c>
      <c r="M120" s="199">
        <v>-178119</v>
      </c>
      <c r="N120" s="182">
        <f t="shared" si="10"/>
        <v>-2858832</v>
      </c>
    </row>
    <row r="121" spans="1:14" x14ac:dyDescent="0.25">
      <c r="A121" s="195">
        <v>32915</v>
      </c>
      <c r="B121" s="197" t="s">
        <v>504</v>
      </c>
      <c r="C121" s="199">
        <v>2039964</v>
      </c>
      <c r="D121" s="199">
        <v>19805</v>
      </c>
      <c r="E121" s="199">
        <v>17665</v>
      </c>
      <c r="F121" s="199">
        <v>163326</v>
      </c>
      <c r="G121" s="199">
        <v>2301960</v>
      </c>
      <c r="H121" s="199">
        <v>5645</v>
      </c>
      <c r="I121" s="231"/>
      <c r="J121" s="199">
        <v>928436</v>
      </c>
      <c r="K121" s="199">
        <v>0</v>
      </c>
      <c r="L121" s="199">
        <v>-227505</v>
      </c>
      <c r="M121" s="199">
        <v>575490</v>
      </c>
      <c r="N121" s="182">
        <f t="shared" si="10"/>
        <v>347985</v>
      </c>
    </row>
    <row r="122" spans="1:14" x14ac:dyDescent="0.25">
      <c r="A122" s="195">
        <v>32920</v>
      </c>
      <c r="B122" s="197" t="s">
        <v>302</v>
      </c>
      <c r="C122" s="199">
        <v>19206226</v>
      </c>
      <c r="D122" s="199">
        <v>186467</v>
      </c>
      <c r="E122" s="199">
        <v>166318</v>
      </c>
      <c r="F122" s="199">
        <v>1537708</v>
      </c>
      <c r="G122" s="199">
        <v>296945</v>
      </c>
      <c r="H122" s="199">
        <v>53146</v>
      </c>
      <c r="I122" s="231"/>
      <c r="J122" s="199">
        <v>8741206</v>
      </c>
      <c r="K122" s="199">
        <v>3427306</v>
      </c>
      <c r="L122" s="199">
        <v>-2141949</v>
      </c>
      <c r="M122" s="199">
        <v>-372285</v>
      </c>
      <c r="N122" s="182">
        <f t="shared" si="10"/>
        <v>-2514234</v>
      </c>
    </row>
    <row r="123" spans="1:14" x14ac:dyDescent="0.25">
      <c r="A123" s="195">
        <v>33000</v>
      </c>
      <c r="B123" s="197" t="s">
        <v>303</v>
      </c>
      <c r="C123" s="199">
        <v>47824317</v>
      </c>
      <c r="D123" s="199">
        <v>464311</v>
      </c>
      <c r="E123" s="199">
        <v>414138</v>
      </c>
      <c r="F123" s="199">
        <v>3828958</v>
      </c>
      <c r="G123" s="199">
        <v>1442432</v>
      </c>
      <c r="H123" s="199">
        <v>132335</v>
      </c>
      <c r="I123" s="231"/>
      <c r="J123" s="199">
        <v>21765973</v>
      </c>
      <c r="K123" s="199">
        <v>6221654</v>
      </c>
      <c r="L123" s="199">
        <v>-5333546</v>
      </c>
      <c r="M123" s="199">
        <v>-1495984</v>
      </c>
      <c r="N123" s="182">
        <f t="shared" si="10"/>
        <v>-6829530</v>
      </c>
    </row>
    <row r="124" spans="1:14" x14ac:dyDescent="0.25">
      <c r="A124" s="4">
        <v>33001</v>
      </c>
      <c r="B124" s="198" t="s">
        <v>463</v>
      </c>
      <c r="C124" s="183">
        <v>1145529</v>
      </c>
      <c r="D124" s="183">
        <v>11122</v>
      </c>
      <c r="E124" s="183">
        <v>9920</v>
      </c>
      <c r="F124" s="183">
        <v>91714</v>
      </c>
      <c r="G124" s="183">
        <v>87928</v>
      </c>
      <c r="H124" s="183">
        <v>3170</v>
      </c>
      <c r="I124" s="232"/>
      <c r="J124" s="183">
        <v>521357</v>
      </c>
      <c r="K124" s="183">
        <v>283757</v>
      </c>
      <c r="L124" s="183">
        <v>-127753</v>
      </c>
      <c r="M124" s="183">
        <v>-77795</v>
      </c>
      <c r="N124" s="184">
        <f t="shared" si="10"/>
        <v>-205548</v>
      </c>
    </row>
    <row r="125" spans="1:14" x14ac:dyDescent="0.25">
      <c r="A125" s="4">
        <v>33027</v>
      </c>
      <c r="B125" s="198" t="s">
        <v>304</v>
      </c>
      <c r="C125" s="183">
        <v>8066939</v>
      </c>
      <c r="D125" s="183">
        <v>78319</v>
      </c>
      <c r="E125" s="183">
        <v>69856</v>
      </c>
      <c r="F125" s="183">
        <v>645863</v>
      </c>
      <c r="G125" s="183">
        <v>1302970</v>
      </c>
      <c r="H125" s="183">
        <v>22322</v>
      </c>
      <c r="I125" s="232"/>
      <c r="J125" s="183">
        <v>3671454</v>
      </c>
      <c r="K125" s="183">
        <v>0</v>
      </c>
      <c r="L125" s="183">
        <v>-899654</v>
      </c>
      <c r="M125" s="183">
        <v>724401</v>
      </c>
      <c r="N125" s="184">
        <f t="shared" si="10"/>
        <v>-175253</v>
      </c>
    </row>
    <row r="126" spans="1:14" x14ac:dyDescent="0.25">
      <c r="A126" s="4">
        <v>33100</v>
      </c>
      <c r="B126" s="198" t="s">
        <v>305</v>
      </c>
      <c r="C126" s="183">
        <v>66296152</v>
      </c>
      <c r="D126" s="183">
        <v>643648</v>
      </c>
      <c r="E126" s="183">
        <v>574096</v>
      </c>
      <c r="F126" s="183">
        <v>5307868</v>
      </c>
      <c r="G126" s="183">
        <v>1556216</v>
      </c>
      <c r="H126" s="183">
        <v>183448</v>
      </c>
      <c r="I126" s="232"/>
      <c r="J126" s="183">
        <v>30172940</v>
      </c>
      <c r="K126" s="183">
        <v>7426749</v>
      </c>
      <c r="L126" s="183">
        <v>-7393591</v>
      </c>
      <c r="M126" s="183">
        <v>-2677034</v>
      </c>
      <c r="N126" s="184">
        <f t="shared" si="10"/>
        <v>-10070625</v>
      </c>
    </row>
    <row r="127" spans="1:14" x14ac:dyDescent="0.25">
      <c r="A127" s="4">
        <v>33105</v>
      </c>
      <c r="B127" s="198" t="s">
        <v>70</v>
      </c>
      <c r="C127" s="184">
        <v>8186829</v>
      </c>
      <c r="D127" s="184">
        <v>79483</v>
      </c>
      <c r="E127" s="184">
        <v>70894</v>
      </c>
      <c r="F127" s="184">
        <v>655462</v>
      </c>
      <c r="G127" s="184">
        <v>760937</v>
      </c>
      <c r="H127" s="184">
        <v>22654</v>
      </c>
      <c r="I127" s="233"/>
      <c r="J127" s="184">
        <v>3726019</v>
      </c>
      <c r="K127" s="184">
        <v>343760</v>
      </c>
      <c r="L127" s="184">
        <v>-913025</v>
      </c>
      <c r="M127" s="184">
        <v>-77629</v>
      </c>
      <c r="N127" s="184">
        <f t="shared" si="10"/>
        <v>-990654</v>
      </c>
    </row>
    <row r="128" spans="1:14" x14ac:dyDescent="0.25">
      <c r="A128" s="4">
        <v>33200</v>
      </c>
      <c r="B128" s="198" t="s">
        <v>306</v>
      </c>
      <c r="C128" s="183">
        <v>330223113</v>
      </c>
      <c r="D128" s="183">
        <v>3206030</v>
      </c>
      <c r="E128" s="183">
        <v>2859589</v>
      </c>
      <c r="F128" s="183">
        <v>26438651</v>
      </c>
      <c r="G128" s="183">
        <v>10421500</v>
      </c>
      <c r="H128" s="183">
        <v>913761</v>
      </c>
      <c r="I128" s="233"/>
      <c r="J128" s="183">
        <v>150292314</v>
      </c>
      <c r="K128" s="183">
        <v>13786931</v>
      </c>
      <c r="L128" s="183">
        <v>-36827696</v>
      </c>
      <c r="M128" s="183">
        <v>-851961</v>
      </c>
      <c r="N128" s="184">
        <f t="shared" si="10"/>
        <v>-37679657</v>
      </c>
    </row>
    <row r="129" spans="1:14" x14ac:dyDescent="0.25">
      <c r="A129" s="4">
        <v>33202</v>
      </c>
      <c r="B129" s="198" t="s">
        <v>464</v>
      </c>
      <c r="C129" s="183">
        <v>6233021</v>
      </c>
      <c r="D129" s="183">
        <v>60514</v>
      </c>
      <c r="E129" s="183">
        <v>53975</v>
      </c>
      <c r="F129" s="183">
        <v>499034</v>
      </c>
      <c r="G129" s="183">
        <v>1142786</v>
      </c>
      <c r="H129" s="183">
        <v>17247</v>
      </c>
      <c r="I129" s="232"/>
      <c r="J129" s="183">
        <v>2836795</v>
      </c>
      <c r="K129" s="183">
        <v>473398</v>
      </c>
      <c r="L129" s="183">
        <v>-695128</v>
      </c>
      <c r="M129" s="183">
        <v>645390</v>
      </c>
      <c r="N129" s="184">
        <f t="shared" ref="N129:N192" si="11">SUM(L129:M129)</f>
        <v>-49738</v>
      </c>
    </row>
    <row r="130" spans="1:14" x14ac:dyDescent="0.25">
      <c r="A130" s="195">
        <v>33203</v>
      </c>
      <c r="B130" s="197" t="s">
        <v>307</v>
      </c>
      <c r="C130" s="182">
        <v>4104111</v>
      </c>
      <c r="D130" s="182">
        <v>39845</v>
      </c>
      <c r="E130" s="182">
        <v>35540</v>
      </c>
      <c r="F130" s="182">
        <v>328587</v>
      </c>
      <c r="G130" s="182">
        <v>1367394</v>
      </c>
      <c r="H130" s="182">
        <v>11356</v>
      </c>
      <c r="I130" s="234"/>
      <c r="J130" s="182">
        <v>1867878</v>
      </c>
      <c r="K130" s="182">
        <v>68717</v>
      </c>
      <c r="L130" s="182">
        <v>-457704</v>
      </c>
      <c r="M130" s="182">
        <v>369143</v>
      </c>
      <c r="N130" s="182">
        <f t="shared" si="11"/>
        <v>-88561</v>
      </c>
    </row>
    <row r="131" spans="1:14" x14ac:dyDescent="0.25">
      <c r="A131" s="195">
        <v>33204</v>
      </c>
      <c r="B131" s="197" t="s">
        <v>308</v>
      </c>
      <c r="C131" s="199">
        <v>9696155</v>
      </c>
      <c r="D131" s="199">
        <v>94137</v>
      </c>
      <c r="E131" s="199">
        <v>83965</v>
      </c>
      <c r="F131" s="199">
        <v>776303</v>
      </c>
      <c r="G131" s="199">
        <v>469822</v>
      </c>
      <c r="H131" s="199">
        <v>26830</v>
      </c>
      <c r="I131" s="231"/>
      <c r="J131" s="199">
        <v>4412949</v>
      </c>
      <c r="K131" s="199">
        <v>551866</v>
      </c>
      <c r="L131" s="199">
        <v>-1081351</v>
      </c>
      <c r="M131" s="199">
        <v>-62057</v>
      </c>
      <c r="N131" s="182">
        <f t="shared" si="11"/>
        <v>-1143408</v>
      </c>
    </row>
    <row r="132" spans="1:14" x14ac:dyDescent="0.25">
      <c r="A132" s="195">
        <v>33205</v>
      </c>
      <c r="B132" s="197" t="s">
        <v>71</v>
      </c>
      <c r="C132" s="199">
        <v>26568491</v>
      </c>
      <c r="D132" s="199">
        <v>257945</v>
      </c>
      <c r="E132" s="199">
        <v>230072</v>
      </c>
      <c r="F132" s="199">
        <v>2127153</v>
      </c>
      <c r="G132" s="199">
        <v>3989346</v>
      </c>
      <c r="H132" s="199">
        <v>73518</v>
      </c>
      <c r="I132" s="231"/>
      <c r="J132" s="199">
        <v>12091946</v>
      </c>
      <c r="K132" s="199">
        <v>1783531</v>
      </c>
      <c r="L132" s="199">
        <v>-2963018</v>
      </c>
      <c r="M132" s="199">
        <v>62454</v>
      </c>
      <c r="N132" s="182">
        <f t="shared" si="11"/>
        <v>-2900564</v>
      </c>
    </row>
    <row r="133" spans="1:14" x14ac:dyDescent="0.25">
      <c r="A133" s="195">
        <v>33206</v>
      </c>
      <c r="B133" s="197" t="s">
        <v>309</v>
      </c>
      <c r="C133" s="199">
        <v>2770540</v>
      </c>
      <c r="D133" s="199">
        <v>26898</v>
      </c>
      <c r="E133" s="199">
        <v>23992</v>
      </c>
      <c r="F133" s="199">
        <v>221818</v>
      </c>
      <c r="G133" s="199">
        <v>493236</v>
      </c>
      <c r="H133" s="199">
        <v>7666</v>
      </c>
      <c r="I133" s="231"/>
      <c r="J133" s="199">
        <v>1260938</v>
      </c>
      <c r="K133" s="199">
        <v>94384</v>
      </c>
      <c r="L133" s="199">
        <v>-308982</v>
      </c>
      <c r="M133" s="199">
        <v>181945</v>
      </c>
      <c r="N133" s="182">
        <f t="shared" si="11"/>
        <v>-127037</v>
      </c>
    </row>
    <row r="134" spans="1:14" x14ac:dyDescent="0.25">
      <c r="A134" s="195">
        <v>33207</v>
      </c>
      <c r="B134" s="197" t="s">
        <v>310</v>
      </c>
      <c r="C134" s="199">
        <v>11950822</v>
      </c>
      <c r="D134" s="199">
        <v>116027</v>
      </c>
      <c r="E134" s="199">
        <v>103489</v>
      </c>
      <c r="F134" s="199">
        <v>956819</v>
      </c>
      <c r="G134" s="199">
        <v>3794813</v>
      </c>
      <c r="H134" s="199">
        <v>33069</v>
      </c>
      <c r="I134" s="231"/>
      <c r="J134" s="199">
        <v>5439100</v>
      </c>
      <c r="K134" s="199">
        <v>0</v>
      </c>
      <c r="L134" s="199">
        <v>-1332800</v>
      </c>
      <c r="M134" s="199">
        <v>2085650</v>
      </c>
      <c r="N134" s="182">
        <f t="shared" si="11"/>
        <v>752850</v>
      </c>
    </row>
    <row r="135" spans="1:14" x14ac:dyDescent="0.25">
      <c r="A135" s="195">
        <v>33208</v>
      </c>
      <c r="B135" s="197" t="s">
        <v>465</v>
      </c>
      <c r="C135" s="199">
        <v>0</v>
      </c>
      <c r="D135" s="199">
        <v>0</v>
      </c>
      <c r="E135" s="199">
        <v>0</v>
      </c>
      <c r="F135" s="199">
        <v>0</v>
      </c>
      <c r="G135" s="199">
        <v>0</v>
      </c>
      <c r="H135" s="199">
        <v>0</v>
      </c>
      <c r="I135" s="231"/>
      <c r="J135" s="199">
        <v>0</v>
      </c>
      <c r="K135" s="199">
        <v>201200</v>
      </c>
      <c r="L135" s="199">
        <v>0</v>
      </c>
      <c r="M135" s="199">
        <v>-223659</v>
      </c>
      <c r="N135" s="182">
        <f t="shared" si="11"/>
        <v>-223659</v>
      </c>
    </row>
    <row r="136" spans="1:14" x14ac:dyDescent="0.25">
      <c r="A136" s="4">
        <v>33209</v>
      </c>
      <c r="B136" s="198" t="s">
        <v>311</v>
      </c>
      <c r="C136" s="183">
        <v>0</v>
      </c>
      <c r="D136" s="183">
        <v>0</v>
      </c>
      <c r="E136" s="183">
        <v>0</v>
      </c>
      <c r="F136" s="183">
        <v>0</v>
      </c>
      <c r="G136" s="183">
        <v>365908</v>
      </c>
      <c r="H136" s="183">
        <v>0</v>
      </c>
      <c r="I136" s="232"/>
      <c r="J136" s="183">
        <v>0</v>
      </c>
      <c r="K136" s="183">
        <v>2774146</v>
      </c>
      <c r="L136" s="183">
        <v>0</v>
      </c>
      <c r="M136" s="183">
        <v>-438501</v>
      </c>
      <c r="N136" s="184">
        <f t="shared" si="11"/>
        <v>-438501</v>
      </c>
    </row>
    <row r="137" spans="1:14" x14ac:dyDescent="0.25">
      <c r="A137" s="4">
        <v>33300</v>
      </c>
      <c r="B137" s="198" t="s">
        <v>312</v>
      </c>
      <c r="C137" s="183">
        <v>45170236</v>
      </c>
      <c r="D137" s="183">
        <v>438543</v>
      </c>
      <c r="E137" s="183">
        <v>391155</v>
      </c>
      <c r="F137" s="183">
        <v>3616464</v>
      </c>
      <c r="G137" s="183">
        <v>1534930</v>
      </c>
      <c r="H137" s="183">
        <v>124991</v>
      </c>
      <c r="I137" s="232"/>
      <c r="J137" s="183">
        <v>20558038</v>
      </c>
      <c r="K137" s="183">
        <v>4590674</v>
      </c>
      <c r="L137" s="183">
        <v>-5037552</v>
      </c>
      <c r="M137" s="183">
        <v>-616921</v>
      </c>
      <c r="N137" s="184">
        <f t="shared" si="11"/>
        <v>-5654473</v>
      </c>
    </row>
    <row r="138" spans="1:14" x14ac:dyDescent="0.25">
      <c r="A138" s="4">
        <v>33305</v>
      </c>
      <c r="B138" s="198" t="s">
        <v>72</v>
      </c>
      <c r="C138" s="183">
        <v>8442037</v>
      </c>
      <c r="D138" s="183">
        <v>81961</v>
      </c>
      <c r="E138" s="183">
        <v>73104</v>
      </c>
      <c r="F138" s="183">
        <v>675895</v>
      </c>
      <c r="G138" s="183">
        <v>0</v>
      </c>
      <c r="H138" s="183">
        <v>23360</v>
      </c>
      <c r="I138" s="232"/>
      <c r="J138" s="183">
        <v>3842170</v>
      </c>
      <c r="K138" s="183">
        <v>2595755</v>
      </c>
      <c r="L138" s="183">
        <v>-941488</v>
      </c>
      <c r="M138" s="183">
        <v>-969122</v>
      </c>
      <c r="N138" s="184">
        <f t="shared" si="11"/>
        <v>-1910610</v>
      </c>
    </row>
    <row r="139" spans="1:14" x14ac:dyDescent="0.25">
      <c r="A139" s="4">
        <v>33400</v>
      </c>
      <c r="B139" s="198" t="s">
        <v>313</v>
      </c>
      <c r="C139" s="184">
        <v>432197086</v>
      </c>
      <c r="D139" s="184">
        <v>4196062</v>
      </c>
      <c r="E139" s="184">
        <v>3742640</v>
      </c>
      <c r="F139" s="184">
        <v>34602992</v>
      </c>
      <c r="G139" s="184">
        <v>23072136</v>
      </c>
      <c r="H139" s="184">
        <v>1195934</v>
      </c>
      <c r="I139" s="233"/>
      <c r="J139" s="184">
        <v>196703071</v>
      </c>
      <c r="K139" s="184">
        <v>20667552</v>
      </c>
      <c r="L139" s="184">
        <v>-48200209</v>
      </c>
      <c r="M139" s="184">
        <v>3157298</v>
      </c>
      <c r="N139" s="184">
        <f t="shared" si="11"/>
        <v>-45042911</v>
      </c>
    </row>
    <row r="140" spans="1:14" x14ac:dyDescent="0.25">
      <c r="A140" s="4">
        <v>33402</v>
      </c>
      <c r="B140" s="198" t="s">
        <v>314</v>
      </c>
      <c r="C140" s="183">
        <v>4070992</v>
      </c>
      <c r="D140" s="183">
        <v>39524</v>
      </c>
      <c r="E140" s="183">
        <v>35253</v>
      </c>
      <c r="F140" s="183">
        <v>325936</v>
      </c>
      <c r="G140" s="183">
        <v>675559</v>
      </c>
      <c r="H140" s="183">
        <v>11265</v>
      </c>
      <c r="I140" s="233"/>
      <c r="J140" s="183">
        <v>1852804</v>
      </c>
      <c r="K140" s="183">
        <v>292842</v>
      </c>
      <c r="L140" s="183">
        <v>-454013</v>
      </c>
      <c r="M140" s="183">
        <v>195804</v>
      </c>
      <c r="N140" s="184">
        <f t="shared" si="11"/>
        <v>-258209</v>
      </c>
    </row>
    <row r="141" spans="1:14" x14ac:dyDescent="0.25">
      <c r="A141" s="4">
        <v>33405</v>
      </c>
      <c r="B141" s="198" t="s">
        <v>73</v>
      </c>
      <c r="C141" s="183">
        <v>38433764</v>
      </c>
      <c r="D141" s="183">
        <v>373141</v>
      </c>
      <c r="E141" s="183">
        <v>332820</v>
      </c>
      <c r="F141" s="183">
        <v>3077122</v>
      </c>
      <c r="G141" s="183">
        <v>2780536</v>
      </c>
      <c r="H141" s="183">
        <v>106350</v>
      </c>
      <c r="I141" s="232"/>
      <c r="J141" s="183">
        <v>17492111</v>
      </c>
      <c r="K141" s="183">
        <v>1591358</v>
      </c>
      <c r="L141" s="183">
        <v>-4286276</v>
      </c>
      <c r="M141" s="183">
        <v>-1122930</v>
      </c>
      <c r="N141" s="184">
        <f t="shared" si="11"/>
        <v>-5409206</v>
      </c>
    </row>
    <row r="142" spans="1:14" x14ac:dyDescent="0.25">
      <c r="A142" s="195">
        <v>33500</v>
      </c>
      <c r="B142" s="197" t="s">
        <v>315</v>
      </c>
      <c r="C142" s="182">
        <v>63169813</v>
      </c>
      <c r="D142" s="182">
        <v>613295</v>
      </c>
      <c r="E142" s="182">
        <v>547023</v>
      </c>
      <c r="F142" s="182">
        <v>5057564</v>
      </c>
      <c r="G142" s="182">
        <v>1946671</v>
      </c>
      <c r="H142" s="182">
        <v>174797</v>
      </c>
      <c r="I142" s="234"/>
      <c r="J142" s="182">
        <v>28750069</v>
      </c>
      <c r="K142" s="182">
        <v>6362095</v>
      </c>
      <c r="L142" s="182">
        <v>-7044931</v>
      </c>
      <c r="M142" s="182">
        <v>-2360366</v>
      </c>
      <c r="N142" s="182">
        <f t="shared" si="11"/>
        <v>-9405297</v>
      </c>
    </row>
    <row r="143" spans="1:14" x14ac:dyDescent="0.25">
      <c r="A143" s="195">
        <v>33501</v>
      </c>
      <c r="B143" s="197" t="s">
        <v>316</v>
      </c>
      <c r="C143" s="199">
        <v>2439094</v>
      </c>
      <c r="D143" s="199">
        <v>23680</v>
      </c>
      <c r="E143" s="199">
        <v>21121</v>
      </c>
      <c r="F143" s="199">
        <v>195281</v>
      </c>
      <c r="G143" s="199">
        <v>857825</v>
      </c>
      <c r="H143" s="199">
        <v>6749</v>
      </c>
      <c r="I143" s="231"/>
      <c r="J143" s="199">
        <v>1110089</v>
      </c>
      <c r="K143" s="199">
        <v>38386</v>
      </c>
      <c r="L143" s="199">
        <v>-272016</v>
      </c>
      <c r="M143" s="199">
        <v>279055</v>
      </c>
      <c r="N143" s="182">
        <f t="shared" si="11"/>
        <v>7039</v>
      </c>
    </row>
    <row r="144" spans="1:14" x14ac:dyDescent="0.25">
      <c r="A144" s="195">
        <v>33600</v>
      </c>
      <c r="B144" s="197" t="s">
        <v>317</v>
      </c>
      <c r="C144" s="199">
        <v>229457377</v>
      </c>
      <c r="D144" s="199">
        <v>2227728</v>
      </c>
      <c r="E144" s="199">
        <v>1987002</v>
      </c>
      <c r="F144" s="199">
        <v>18371044</v>
      </c>
      <c r="G144" s="199">
        <v>12748100</v>
      </c>
      <c r="H144" s="199">
        <v>634932</v>
      </c>
      <c r="I144" s="231"/>
      <c r="J144" s="199">
        <v>104431455</v>
      </c>
      <c r="K144" s="199">
        <v>18127162</v>
      </c>
      <c r="L144" s="199">
        <v>-25589931</v>
      </c>
      <c r="M144" s="199">
        <v>1190696</v>
      </c>
      <c r="N144" s="182">
        <f t="shared" si="11"/>
        <v>-24399235</v>
      </c>
    </row>
    <row r="145" spans="1:14" x14ac:dyDescent="0.25">
      <c r="A145" s="195">
        <v>33605</v>
      </c>
      <c r="B145" s="197" t="s">
        <v>74</v>
      </c>
      <c r="C145" s="199">
        <v>24302704</v>
      </c>
      <c r="D145" s="199">
        <v>235947</v>
      </c>
      <c r="E145" s="199">
        <v>210451</v>
      </c>
      <c r="F145" s="199">
        <v>1945747</v>
      </c>
      <c r="G145" s="199">
        <v>744808</v>
      </c>
      <c r="H145" s="199">
        <v>67248</v>
      </c>
      <c r="I145" s="231"/>
      <c r="J145" s="199">
        <v>11060733</v>
      </c>
      <c r="K145" s="199">
        <v>3400309</v>
      </c>
      <c r="L145" s="199">
        <v>-2710328</v>
      </c>
      <c r="M145" s="199">
        <v>-1423144</v>
      </c>
      <c r="N145" s="182">
        <f t="shared" si="11"/>
        <v>-4133472</v>
      </c>
    </row>
    <row r="146" spans="1:14" x14ac:dyDescent="0.25">
      <c r="A146" s="195">
        <v>33700</v>
      </c>
      <c r="B146" s="197" t="s">
        <v>318</v>
      </c>
      <c r="C146" s="199">
        <v>15937707</v>
      </c>
      <c r="D146" s="199">
        <v>154734</v>
      </c>
      <c r="E146" s="199">
        <v>138014</v>
      </c>
      <c r="F146" s="199">
        <v>1276020</v>
      </c>
      <c r="G146" s="199">
        <v>1175711</v>
      </c>
      <c r="H146" s="199">
        <v>44101</v>
      </c>
      <c r="I146" s="231"/>
      <c r="J146" s="199">
        <v>7253626</v>
      </c>
      <c r="K146" s="199">
        <v>551905</v>
      </c>
      <c r="L146" s="199">
        <v>-1777433</v>
      </c>
      <c r="M146" s="199">
        <v>36382</v>
      </c>
      <c r="N146" s="182">
        <f t="shared" si="11"/>
        <v>-1741051</v>
      </c>
    </row>
    <row r="147" spans="1:14" x14ac:dyDescent="0.25">
      <c r="A147" s="195">
        <v>33800</v>
      </c>
      <c r="B147" s="197" t="s">
        <v>319</v>
      </c>
      <c r="C147" s="199">
        <v>11389351</v>
      </c>
      <c r="D147" s="199">
        <v>110576</v>
      </c>
      <c r="E147" s="199">
        <v>98627</v>
      </c>
      <c r="F147" s="199">
        <v>911866</v>
      </c>
      <c r="G147" s="199">
        <v>948460</v>
      </c>
      <c r="H147" s="199">
        <v>31516</v>
      </c>
      <c r="I147" s="231"/>
      <c r="J147" s="199">
        <v>5183562</v>
      </c>
      <c r="K147" s="199">
        <v>1216561</v>
      </c>
      <c r="L147" s="199">
        <v>-1270183</v>
      </c>
      <c r="M147" s="199">
        <v>-147284</v>
      </c>
      <c r="N147" s="182">
        <f t="shared" si="11"/>
        <v>-1417467</v>
      </c>
    </row>
    <row r="148" spans="1:14" x14ac:dyDescent="0.25">
      <c r="A148" s="4">
        <v>33900</v>
      </c>
      <c r="B148" s="198" t="s">
        <v>466</v>
      </c>
      <c r="C148" s="183">
        <v>50793851</v>
      </c>
      <c r="D148" s="183">
        <v>493141</v>
      </c>
      <c r="E148" s="183">
        <v>439853</v>
      </c>
      <c r="F148" s="183">
        <v>4066708</v>
      </c>
      <c r="G148" s="183">
        <v>0</v>
      </c>
      <c r="H148" s="183">
        <v>140552</v>
      </c>
      <c r="I148" s="232"/>
      <c r="J148" s="183">
        <v>23117478</v>
      </c>
      <c r="K148" s="183">
        <v>8738630</v>
      </c>
      <c r="L148" s="183">
        <v>-5664717</v>
      </c>
      <c r="M148" s="183">
        <v>-3413042</v>
      </c>
      <c r="N148" s="184">
        <f t="shared" si="11"/>
        <v>-9077759</v>
      </c>
    </row>
    <row r="149" spans="1:14" x14ac:dyDescent="0.25">
      <c r="A149" s="4">
        <v>34000</v>
      </c>
      <c r="B149" s="198" t="s">
        <v>320</v>
      </c>
      <c r="C149" s="183">
        <v>26078550</v>
      </c>
      <c r="D149" s="183">
        <v>253188</v>
      </c>
      <c r="E149" s="183">
        <v>225829</v>
      </c>
      <c r="F149" s="183">
        <v>2087927</v>
      </c>
      <c r="G149" s="183">
        <v>1622013</v>
      </c>
      <c r="H149" s="183">
        <v>72162</v>
      </c>
      <c r="I149" s="232"/>
      <c r="J149" s="183">
        <v>11868962</v>
      </c>
      <c r="K149" s="183">
        <v>2652041</v>
      </c>
      <c r="L149" s="183">
        <v>-2908377</v>
      </c>
      <c r="M149" s="183">
        <v>-384429</v>
      </c>
      <c r="N149" s="184">
        <f t="shared" si="11"/>
        <v>-3292806</v>
      </c>
    </row>
    <row r="150" spans="1:14" x14ac:dyDescent="0.25">
      <c r="A150" s="4">
        <v>34100</v>
      </c>
      <c r="B150" s="198" t="s">
        <v>321</v>
      </c>
      <c r="C150" s="183">
        <v>572193773</v>
      </c>
      <c r="D150" s="183">
        <v>5555245</v>
      </c>
      <c r="E150" s="183">
        <v>4954950</v>
      </c>
      <c r="F150" s="183">
        <v>45811546</v>
      </c>
      <c r="G150" s="183">
        <v>0</v>
      </c>
      <c r="H150" s="183">
        <v>1583319</v>
      </c>
      <c r="I150" s="232"/>
      <c r="J150" s="183">
        <v>260418859</v>
      </c>
      <c r="K150" s="183">
        <v>46913000</v>
      </c>
      <c r="L150" s="183">
        <v>-63813152</v>
      </c>
      <c r="M150" s="183">
        <v>-15241534</v>
      </c>
      <c r="N150" s="184">
        <f t="shared" si="11"/>
        <v>-79054686</v>
      </c>
    </row>
    <row r="151" spans="1:14" x14ac:dyDescent="0.25">
      <c r="A151" s="4">
        <v>34105</v>
      </c>
      <c r="B151" s="198" t="s">
        <v>75</v>
      </c>
      <c r="C151" s="184">
        <v>42394438</v>
      </c>
      <c r="D151" s="184">
        <v>411594</v>
      </c>
      <c r="E151" s="184">
        <v>367117</v>
      </c>
      <c r="F151" s="184">
        <v>3394226</v>
      </c>
      <c r="G151" s="184">
        <v>717768</v>
      </c>
      <c r="H151" s="184">
        <v>117310</v>
      </c>
      <c r="I151" s="233"/>
      <c r="J151" s="184">
        <v>19294707</v>
      </c>
      <c r="K151" s="184">
        <v>5575016</v>
      </c>
      <c r="L151" s="184">
        <v>-4727985</v>
      </c>
      <c r="M151" s="184">
        <v>-2617688</v>
      </c>
      <c r="N151" s="184">
        <f t="shared" si="11"/>
        <v>-7345673</v>
      </c>
    </row>
    <row r="152" spans="1:14" x14ac:dyDescent="0.25">
      <c r="A152" s="4">
        <v>34200</v>
      </c>
      <c r="B152" s="198" t="s">
        <v>322</v>
      </c>
      <c r="C152" s="183">
        <v>18300017</v>
      </c>
      <c r="D152" s="183">
        <v>177669</v>
      </c>
      <c r="E152" s="183">
        <v>158470</v>
      </c>
      <c r="F152" s="183">
        <v>1465154</v>
      </c>
      <c r="G152" s="183">
        <v>1837428</v>
      </c>
      <c r="H152" s="183">
        <v>50638</v>
      </c>
      <c r="I152" s="233"/>
      <c r="J152" s="183">
        <v>8328769</v>
      </c>
      <c r="K152" s="183">
        <v>3523733</v>
      </c>
      <c r="L152" s="183">
        <v>-2040886</v>
      </c>
      <c r="M152" s="183">
        <v>-1517434</v>
      </c>
      <c r="N152" s="184">
        <f t="shared" si="11"/>
        <v>-3558320</v>
      </c>
    </row>
    <row r="153" spans="1:14" x14ac:dyDescent="0.25">
      <c r="A153" s="4">
        <v>34205</v>
      </c>
      <c r="B153" s="198" t="s">
        <v>76</v>
      </c>
      <c r="C153" s="183">
        <v>7849633</v>
      </c>
      <c r="D153" s="183">
        <v>76210</v>
      </c>
      <c r="E153" s="183">
        <v>67974</v>
      </c>
      <c r="F153" s="183">
        <v>628465</v>
      </c>
      <c r="G153" s="183">
        <v>850148</v>
      </c>
      <c r="H153" s="183">
        <v>21721</v>
      </c>
      <c r="I153" s="232"/>
      <c r="J153" s="183">
        <v>3572553</v>
      </c>
      <c r="K153" s="183">
        <v>1558842</v>
      </c>
      <c r="L153" s="183">
        <v>-875420</v>
      </c>
      <c r="M153" s="183">
        <v>-534316</v>
      </c>
      <c r="N153" s="184">
        <f t="shared" si="11"/>
        <v>-1409736</v>
      </c>
    </row>
    <row r="154" spans="1:14" x14ac:dyDescent="0.25">
      <c r="A154" s="195">
        <v>34220</v>
      </c>
      <c r="B154" s="197" t="s">
        <v>323</v>
      </c>
      <c r="C154" s="182">
        <v>21764602</v>
      </c>
      <c r="D154" s="182">
        <v>211306</v>
      </c>
      <c r="E154" s="182">
        <v>188472</v>
      </c>
      <c r="F154" s="182">
        <v>1742539</v>
      </c>
      <c r="G154" s="182">
        <v>813027</v>
      </c>
      <c r="H154" s="182">
        <v>60225</v>
      </c>
      <c r="I154" s="234"/>
      <c r="J154" s="182">
        <v>9905583</v>
      </c>
      <c r="K154" s="182">
        <v>2229451</v>
      </c>
      <c r="L154" s="182">
        <v>-2427269</v>
      </c>
      <c r="M154" s="182">
        <v>103608</v>
      </c>
      <c r="N154" s="182">
        <f t="shared" si="11"/>
        <v>-2323661</v>
      </c>
    </row>
    <row r="155" spans="1:14" x14ac:dyDescent="0.25">
      <c r="A155" s="195">
        <v>34230</v>
      </c>
      <c r="B155" s="197" t="s">
        <v>324</v>
      </c>
      <c r="C155" s="199">
        <v>6949706</v>
      </c>
      <c r="D155" s="199">
        <v>67472</v>
      </c>
      <c r="E155" s="199">
        <v>60181</v>
      </c>
      <c r="F155" s="199">
        <v>556414</v>
      </c>
      <c r="G155" s="199">
        <v>260252</v>
      </c>
      <c r="H155" s="199">
        <v>19231</v>
      </c>
      <c r="I155" s="231"/>
      <c r="J155" s="199">
        <v>3162975</v>
      </c>
      <c r="K155" s="199">
        <v>1781905</v>
      </c>
      <c r="L155" s="199">
        <v>-775056</v>
      </c>
      <c r="M155" s="199">
        <v>-947314</v>
      </c>
      <c r="N155" s="182">
        <f t="shared" si="11"/>
        <v>-1722370</v>
      </c>
    </row>
    <row r="156" spans="1:14" x14ac:dyDescent="0.25">
      <c r="A156" s="195">
        <v>34300</v>
      </c>
      <c r="B156" s="197" t="s">
        <v>325</v>
      </c>
      <c r="C156" s="199">
        <v>137467894</v>
      </c>
      <c r="D156" s="199">
        <v>1334631</v>
      </c>
      <c r="E156" s="199">
        <v>1190412</v>
      </c>
      <c r="F156" s="199">
        <v>11006091</v>
      </c>
      <c r="G156" s="199">
        <v>0</v>
      </c>
      <c r="H156" s="199">
        <v>380388</v>
      </c>
      <c r="I156" s="231"/>
      <c r="J156" s="199">
        <v>62564875</v>
      </c>
      <c r="K156" s="199">
        <v>14592029</v>
      </c>
      <c r="L156" s="199">
        <v>-15330924</v>
      </c>
      <c r="M156" s="199">
        <v>-2817510</v>
      </c>
      <c r="N156" s="182">
        <f t="shared" si="11"/>
        <v>-18148434</v>
      </c>
    </row>
    <row r="157" spans="1:14" x14ac:dyDescent="0.25">
      <c r="A157" s="195">
        <v>34400</v>
      </c>
      <c r="B157" s="197" t="s">
        <v>326</v>
      </c>
      <c r="C157" s="199">
        <v>60058303</v>
      </c>
      <c r="D157" s="199">
        <v>583087</v>
      </c>
      <c r="E157" s="199">
        <v>520079</v>
      </c>
      <c r="F157" s="199">
        <v>4808447</v>
      </c>
      <c r="G157" s="199">
        <v>3318920</v>
      </c>
      <c r="H157" s="199">
        <v>166188</v>
      </c>
      <c r="I157" s="231"/>
      <c r="J157" s="199">
        <v>27333948</v>
      </c>
      <c r="K157" s="199">
        <v>3047319</v>
      </c>
      <c r="L157" s="199">
        <v>-6697921</v>
      </c>
      <c r="M157" s="199">
        <v>-722304</v>
      </c>
      <c r="N157" s="182">
        <f t="shared" si="11"/>
        <v>-7420225</v>
      </c>
    </row>
    <row r="158" spans="1:14" x14ac:dyDescent="0.25">
      <c r="A158" s="195">
        <v>34405</v>
      </c>
      <c r="B158" s="197" t="s">
        <v>77</v>
      </c>
      <c r="C158" s="199">
        <v>10435269</v>
      </c>
      <c r="D158" s="199">
        <v>101313</v>
      </c>
      <c r="E158" s="199">
        <v>90365</v>
      </c>
      <c r="F158" s="199">
        <v>835479</v>
      </c>
      <c r="G158" s="199">
        <v>85232</v>
      </c>
      <c r="H158" s="199">
        <v>28875</v>
      </c>
      <c r="I158" s="231"/>
      <c r="J158" s="199">
        <v>4749337</v>
      </c>
      <c r="K158" s="199">
        <v>1180913</v>
      </c>
      <c r="L158" s="199">
        <v>-1163781</v>
      </c>
      <c r="M158" s="199">
        <v>-767566</v>
      </c>
      <c r="N158" s="182">
        <f t="shared" si="11"/>
        <v>-1931347</v>
      </c>
    </row>
    <row r="159" spans="1:14" x14ac:dyDescent="0.25">
      <c r="A159" s="195">
        <v>34500</v>
      </c>
      <c r="B159" s="197" t="s">
        <v>327</v>
      </c>
      <c r="C159" s="199">
        <v>107883439</v>
      </c>
      <c r="D159" s="199">
        <v>1047406</v>
      </c>
      <c r="E159" s="199">
        <v>934224</v>
      </c>
      <c r="F159" s="199">
        <v>8637471</v>
      </c>
      <c r="G159" s="199">
        <v>5832320</v>
      </c>
      <c r="H159" s="199">
        <v>298525</v>
      </c>
      <c r="I159" s="231"/>
      <c r="J159" s="199">
        <v>49100293</v>
      </c>
      <c r="K159" s="199">
        <v>5589823</v>
      </c>
      <c r="L159" s="199">
        <v>-12031558</v>
      </c>
      <c r="M159" s="199">
        <v>288498</v>
      </c>
      <c r="N159" s="182">
        <f t="shared" si="11"/>
        <v>-11743060</v>
      </c>
    </row>
    <row r="160" spans="1:14" x14ac:dyDescent="0.25">
      <c r="A160" s="195">
        <v>34501</v>
      </c>
      <c r="B160" s="197" t="s">
        <v>328</v>
      </c>
      <c r="C160" s="182">
        <v>1413968</v>
      </c>
      <c r="D160" s="182">
        <v>13728</v>
      </c>
      <c r="E160" s="182">
        <v>12244</v>
      </c>
      <c r="F160" s="182">
        <v>113207</v>
      </c>
      <c r="G160" s="182">
        <v>157668</v>
      </c>
      <c r="H160" s="182">
        <v>3913</v>
      </c>
      <c r="I160" s="234"/>
      <c r="J160" s="182">
        <v>643530</v>
      </c>
      <c r="K160" s="182">
        <v>177898</v>
      </c>
      <c r="L160" s="182">
        <v>-157692</v>
      </c>
      <c r="M160" s="182">
        <v>55163</v>
      </c>
      <c r="N160" s="182">
        <f t="shared" si="11"/>
        <v>-102529</v>
      </c>
    </row>
    <row r="161" spans="1:14" x14ac:dyDescent="0.25">
      <c r="A161" s="195">
        <v>34505</v>
      </c>
      <c r="B161" s="197" t="s">
        <v>78</v>
      </c>
      <c r="C161" s="199">
        <v>13913952</v>
      </c>
      <c r="D161" s="199">
        <v>135086</v>
      </c>
      <c r="E161" s="199">
        <v>120489</v>
      </c>
      <c r="F161" s="199">
        <v>1113993</v>
      </c>
      <c r="G161" s="199">
        <v>1279513</v>
      </c>
      <c r="H161" s="199">
        <v>38501</v>
      </c>
      <c r="I161" s="231"/>
      <c r="J161" s="199">
        <v>6332567</v>
      </c>
      <c r="K161" s="199">
        <v>296008</v>
      </c>
      <c r="L161" s="199">
        <v>-1551737</v>
      </c>
      <c r="M161" s="199">
        <v>251417</v>
      </c>
      <c r="N161" s="182">
        <f t="shared" si="11"/>
        <v>-1300320</v>
      </c>
    </row>
    <row r="162" spans="1:14" x14ac:dyDescent="0.25">
      <c r="A162" s="195">
        <v>34600</v>
      </c>
      <c r="B162" s="197" t="s">
        <v>329</v>
      </c>
      <c r="C162" s="199">
        <v>22115201</v>
      </c>
      <c r="D162" s="199">
        <v>214709</v>
      </c>
      <c r="E162" s="199">
        <v>191508</v>
      </c>
      <c r="F162" s="199">
        <v>1770609</v>
      </c>
      <c r="G162" s="199">
        <v>928832</v>
      </c>
      <c r="H162" s="199">
        <v>61195</v>
      </c>
      <c r="I162" s="231"/>
      <c r="J162" s="199">
        <v>10065149</v>
      </c>
      <c r="K162" s="199">
        <v>2834136</v>
      </c>
      <c r="L162" s="199">
        <v>-2466369</v>
      </c>
      <c r="M162" s="199">
        <v>-804268</v>
      </c>
      <c r="N162" s="182">
        <f t="shared" si="11"/>
        <v>-3270637</v>
      </c>
    </row>
    <row r="163" spans="1:14" x14ac:dyDescent="0.25">
      <c r="A163" s="195">
        <v>34605</v>
      </c>
      <c r="B163" s="197" t="s">
        <v>79</v>
      </c>
      <c r="C163" s="199">
        <v>3814293</v>
      </c>
      <c r="D163" s="199">
        <v>37032</v>
      </c>
      <c r="E163" s="199">
        <v>33030</v>
      </c>
      <c r="F163" s="199">
        <v>305384</v>
      </c>
      <c r="G163" s="199">
        <v>206476</v>
      </c>
      <c r="H163" s="199">
        <v>10555</v>
      </c>
      <c r="I163" s="231"/>
      <c r="J163" s="199">
        <v>1735975</v>
      </c>
      <c r="K163" s="199">
        <v>1110719</v>
      </c>
      <c r="L163" s="199">
        <v>-425383</v>
      </c>
      <c r="M163" s="199">
        <v>-597609</v>
      </c>
      <c r="N163" s="182">
        <f t="shared" si="11"/>
        <v>-1022992</v>
      </c>
    </row>
    <row r="164" spans="1:14" x14ac:dyDescent="0.25">
      <c r="A164" s="195">
        <v>34700</v>
      </c>
      <c r="B164" s="197" t="s">
        <v>330</v>
      </c>
      <c r="C164" s="199">
        <v>71664399</v>
      </c>
      <c r="D164" s="199">
        <v>695767</v>
      </c>
      <c r="E164" s="199">
        <v>620583</v>
      </c>
      <c r="F164" s="199">
        <v>5737666</v>
      </c>
      <c r="G164" s="199">
        <v>3247752</v>
      </c>
      <c r="H164" s="199">
        <v>198303</v>
      </c>
      <c r="I164" s="231"/>
      <c r="J164" s="199">
        <v>32616155</v>
      </c>
      <c r="K164" s="199">
        <v>3147350</v>
      </c>
      <c r="L164" s="199">
        <v>-7992277</v>
      </c>
      <c r="M164" s="199">
        <v>179262</v>
      </c>
      <c r="N164" s="182">
        <f t="shared" si="11"/>
        <v>-7813015</v>
      </c>
    </row>
    <row r="165" spans="1:14" x14ac:dyDescent="0.25">
      <c r="A165" s="195">
        <v>34800</v>
      </c>
      <c r="B165" s="197" t="s">
        <v>331</v>
      </c>
      <c r="C165" s="199">
        <v>7084315</v>
      </c>
      <c r="D165" s="199">
        <v>68779</v>
      </c>
      <c r="E165" s="199">
        <v>61347</v>
      </c>
      <c r="F165" s="199">
        <v>567191</v>
      </c>
      <c r="G165" s="199">
        <v>308941</v>
      </c>
      <c r="H165" s="199">
        <v>19603</v>
      </c>
      <c r="I165" s="231"/>
      <c r="J165" s="199">
        <v>3224239</v>
      </c>
      <c r="K165" s="199">
        <v>828484</v>
      </c>
      <c r="L165" s="199">
        <v>-790069</v>
      </c>
      <c r="M165" s="199">
        <v>11902</v>
      </c>
      <c r="N165" s="182">
        <f t="shared" si="11"/>
        <v>-778167</v>
      </c>
    </row>
    <row r="166" spans="1:14" x14ac:dyDescent="0.25">
      <c r="A166" s="4">
        <v>34900</v>
      </c>
      <c r="B166" s="198" t="s">
        <v>467</v>
      </c>
      <c r="C166" s="183">
        <v>152398029</v>
      </c>
      <c r="D166" s="183">
        <v>1479583</v>
      </c>
      <c r="E166" s="183">
        <v>1319701</v>
      </c>
      <c r="F166" s="183">
        <v>12201442</v>
      </c>
      <c r="G166" s="183">
        <v>6604256</v>
      </c>
      <c r="H166" s="183">
        <v>421701</v>
      </c>
      <c r="I166" s="232"/>
      <c r="J166" s="183">
        <v>69359931</v>
      </c>
      <c r="K166" s="183">
        <v>5706782</v>
      </c>
      <c r="L166" s="183">
        <v>-16995989</v>
      </c>
      <c r="M166" s="183">
        <v>-205173</v>
      </c>
      <c r="N166" s="184">
        <f t="shared" si="11"/>
        <v>-17201162</v>
      </c>
    </row>
    <row r="167" spans="1:14" x14ac:dyDescent="0.25">
      <c r="A167" s="4">
        <v>34901</v>
      </c>
      <c r="B167" s="198" t="s">
        <v>468</v>
      </c>
      <c r="C167" s="183">
        <v>4125080</v>
      </c>
      <c r="D167" s="183">
        <v>40049</v>
      </c>
      <c r="E167" s="183">
        <v>35721</v>
      </c>
      <c r="F167" s="183">
        <v>330266</v>
      </c>
      <c r="G167" s="183">
        <v>227022</v>
      </c>
      <c r="H167" s="183">
        <v>11415</v>
      </c>
      <c r="I167" s="232"/>
      <c r="J167" s="183">
        <v>1877421</v>
      </c>
      <c r="K167" s="183">
        <v>168208</v>
      </c>
      <c r="L167" s="183">
        <v>-460044</v>
      </c>
      <c r="M167" s="183">
        <v>40477</v>
      </c>
      <c r="N167" s="184">
        <f t="shared" si="11"/>
        <v>-419567</v>
      </c>
    </row>
    <row r="168" spans="1:14" x14ac:dyDescent="0.25">
      <c r="A168" s="4">
        <v>34903</v>
      </c>
      <c r="B168" s="198" t="s">
        <v>332</v>
      </c>
      <c r="C168" s="183">
        <v>314128</v>
      </c>
      <c r="D168" s="183">
        <v>3050</v>
      </c>
      <c r="E168" s="183">
        <v>2720</v>
      </c>
      <c r="F168" s="183">
        <v>25150</v>
      </c>
      <c r="G168" s="183">
        <v>210021</v>
      </c>
      <c r="H168" s="183">
        <v>869</v>
      </c>
      <c r="I168" s="232"/>
      <c r="J168" s="183">
        <v>142967</v>
      </c>
      <c r="K168" s="183">
        <v>45005</v>
      </c>
      <c r="L168" s="183">
        <v>-35033</v>
      </c>
      <c r="M168" s="183">
        <v>30249</v>
      </c>
      <c r="N168" s="184">
        <f t="shared" si="11"/>
        <v>-4784</v>
      </c>
    </row>
    <row r="169" spans="1:14" x14ac:dyDescent="0.25">
      <c r="A169" s="4">
        <v>34905</v>
      </c>
      <c r="B169" s="198" t="s">
        <v>80</v>
      </c>
      <c r="C169" s="184">
        <v>13520011</v>
      </c>
      <c r="D169" s="184">
        <v>131261</v>
      </c>
      <c r="E169" s="184">
        <v>117077</v>
      </c>
      <c r="F169" s="184">
        <v>1082453</v>
      </c>
      <c r="G169" s="184">
        <v>134581</v>
      </c>
      <c r="H169" s="184">
        <v>37411</v>
      </c>
      <c r="I169" s="233"/>
      <c r="J169" s="184">
        <v>6153275</v>
      </c>
      <c r="K169" s="184">
        <v>716878</v>
      </c>
      <c r="L169" s="184">
        <v>-1507801</v>
      </c>
      <c r="M169" s="184">
        <v>-519068</v>
      </c>
      <c r="N169" s="184">
        <f t="shared" si="11"/>
        <v>-2026869</v>
      </c>
    </row>
    <row r="170" spans="1:14" x14ac:dyDescent="0.25">
      <c r="A170" s="4">
        <v>34910</v>
      </c>
      <c r="B170" s="198" t="s">
        <v>333</v>
      </c>
      <c r="C170" s="183">
        <v>49607774</v>
      </c>
      <c r="D170" s="183">
        <v>481626</v>
      </c>
      <c r="E170" s="183">
        <v>429582</v>
      </c>
      <c r="F170" s="183">
        <v>3971747</v>
      </c>
      <c r="G170" s="183">
        <v>2675303</v>
      </c>
      <c r="H170" s="183">
        <v>137270</v>
      </c>
      <c r="I170" s="233"/>
      <c r="J170" s="183">
        <v>22577666</v>
      </c>
      <c r="K170" s="183">
        <v>1120342</v>
      </c>
      <c r="L170" s="183">
        <v>-5532441</v>
      </c>
      <c r="M170" s="183">
        <v>302864</v>
      </c>
      <c r="N170" s="184">
        <f t="shared" si="11"/>
        <v>-5229577</v>
      </c>
    </row>
    <row r="171" spans="1:14" x14ac:dyDescent="0.25">
      <c r="A171" s="4">
        <v>35000</v>
      </c>
      <c r="B171" s="198" t="s">
        <v>334</v>
      </c>
      <c r="C171" s="183">
        <v>31108822</v>
      </c>
      <c r="D171" s="183">
        <v>302026</v>
      </c>
      <c r="E171" s="183">
        <v>269389</v>
      </c>
      <c r="F171" s="183">
        <v>2490665</v>
      </c>
      <c r="G171" s="183">
        <v>373692</v>
      </c>
      <c r="H171" s="183">
        <v>86081</v>
      </c>
      <c r="I171" s="232"/>
      <c r="J171" s="183">
        <v>14158358</v>
      </c>
      <c r="K171" s="183">
        <v>1341035</v>
      </c>
      <c r="L171" s="183">
        <v>-3469370</v>
      </c>
      <c r="M171" s="183">
        <v>19613</v>
      </c>
      <c r="N171" s="184">
        <f t="shared" si="11"/>
        <v>-3449757</v>
      </c>
    </row>
    <row r="172" spans="1:14" x14ac:dyDescent="0.25">
      <c r="A172" s="195">
        <v>35005</v>
      </c>
      <c r="B172" s="197" t="s">
        <v>81</v>
      </c>
      <c r="C172" s="182">
        <v>12335969</v>
      </c>
      <c r="D172" s="182">
        <v>119766</v>
      </c>
      <c r="E172" s="182">
        <v>106824</v>
      </c>
      <c r="F172" s="182">
        <v>987655</v>
      </c>
      <c r="G172" s="182">
        <v>180987</v>
      </c>
      <c r="H172" s="182">
        <v>34135</v>
      </c>
      <c r="I172" s="234"/>
      <c r="J172" s="182">
        <v>5614390</v>
      </c>
      <c r="K172" s="182">
        <v>1626762</v>
      </c>
      <c r="L172" s="182">
        <v>-1375752</v>
      </c>
      <c r="M172" s="182">
        <v>-618579</v>
      </c>
      <c r="N172" s="182">
        <f t="shared" si="11"/>
        <v>-1994331</v>
      </c>
    </row>
    <row r="173" spans="1:14" x14ac:dyDescent="0.25">
      <c r="A173" s="195">
        <v>35100</v>
      </c>
      <c r="B173" s="197" t="s">
        <v>335</v>
      </c>
      <c r="C173" s="199">
        <v>285632032</v>
      </c>
      <c r="D173" s="199">
        <v>2773109</v>
      </c>
      <c r="E173" s="199">
        <v>2473450</v>
      </c>
      <c r="F173" s="199">
        <v>22868555</v>
      </c>
      <c r="G173" s="199">
        <v>12463141</v>
      </c>
      <c r="H173" s="199">
        <v>790373</v>
      </c>
      <c r="I173" s="231"/>
      <c r="J173" s="199">
        <v>129997863</v>
      </c>
      <c r="K173" s="199">
        <v>14224320</v>
      </c>
      <c r="L173" s="199">
        <v>-31854734</v>
      </c>
      <c r="M173" s="199">
        <v>3802625</v>
      </c>
      <c r="N173" s="182">
        <f t="shared" si="11"/>
        <v>-28052109</v>
      </c>
    </row>
    <row r="174" spans="1:14" x14ac:dyDescent="0.25">
      <c r="A174" s="195">
        <v>35105</v>
      </c>
      <c r="B174" s="197" t="s">
        <v>82</v>
      </c>
      <c r="C174" s="199">
        <v>22592014</v>
      </c>
      <c r="D174" s="199">
        <v>219339</v>
      </c>
      <c r="E174" s="199">
        <v>195637</v>
      </c>
      <c r="F174" s="199">
        <v>1808784</v>
      </c>
      <c r="G174" s="199">
        <v>218728</v>
      </c>
      <c r="H174" s="199">
        <v>62514</v>
      </c>
      <c r="I174" s="231"/>
      <c r="J174" s="199">
        <v>10282157</v>
      </c>
      <c r="K174" s="199">
        <v>1777902</v>
      </c>
      <c r="L174" s="199">
        <v>-2519545</v>
      </c>
      <c r="M174" s="199">
        <v>-806513</v>
      </c>
      <c r="N174" s="182">
        <f t="shared" si="11"/>
        <v>-3326058</v>
      </c>
    </row>
    <row r="175" spans="1:14" x14ac:dyDescent="0.25">
      <c r="A175" s="195">
        <v>35106</v>
      </c>
      <c r="B175" s="197" t="s">
        <v>336</v>
      </c>
      <c r="C175" s="199">
        <v>5858467</v>
      </c>
      <c r="D175" s="199">
        <v>56878</v>
      </c>
      <c r="E175" s="199">
        <v>50732</v>
      </c>
      <c r="F175" s="199">
        <v>469046</v>
      </c>
      <c r="G175" s="199">
        <v>105597</v>
      </c>
      <c r="H175" s="199">
        <v>16211</v>
      </c>
      <c r="I175" s="231"/>
      <c r="J175" s="199">
        <v>2666326</v>
      </c>
      <c r="K175" s="199">
        <v>582697</v>
      </c>
      <c r="L175" s="199">
        <v>-653357</v>
      </c>
      <c r="M175" s="199">
        <v>-180426</v>
      </c>
      <c r="N175" s="182">
        <f t="shared" si="11"/>
        <v>-833783</v>
      </c>
    </row>
    <row r="176" spans="1:14" x14ac:dyDescent="0.25">
      <c r="A176" s="195">
        <v>35200</v>
      </c>
      <c r="B176" s="197" t="s">
        <v>337</v>
      </c>
      <c r="C176" s="199">
        <v>11050754</v>
      </c>
      <c r="D176" s="199">
        <v>107288</v>
      </c>
      <c r="E176" s="199">
        <v>95695</v>
      </c>
      <c r="F176" s="199">
        <v>884756</v>
      </c>
      <c r="G176" s="199">
        <v>1062372</v>
      </c>
      <c r="H176" s="199">
        <v>30579</v>
      </c>
      <c r="I176" s="231"/>
      <c r="J176" s="199">
        <v>5029458</v>
      </c>
      <c r="K176" s="199">
        <v>1221651</v>
      </c>
      <c r="L176" s="199">
        <v>-1232420</v>
      </c>
      <c r="M176" s="199">
        <v>-123173</v>
      </c>
      <c r="N176" s="182">
        <f t="shared" si="11"/>
        <v>-1355593</v>
      </c>
    </row>
    <row r="177" spans="1:14" x14ac:dyDescent="0.25">
      <c r="A177" s="195">
        <v>35300</v>
      </c>
      <c r="B177" s="197" t="s">
        <v>469</v>
      </c>
      <c r="C177" s="199">
        <v>81723128</v>
      </c>
      <c r="D177" s="199">
        <v>793424</v>
      </c>
      <c r="E177" s="199">
        <v>707687</v>
      </c>
      <c r="F177" s="199">
        <v>6542998</v>
      </c>
      <c r="G177" s="199">
        <v>6996126</v>
      </c>
      <c r="H177" s="199">
        <v>226136</v>
      </c>
      <c r="I177" s="231"/>
      <c r="J177" s="199">
        <v>37194120</v>
      </c>
      <c r="K177" s="199">
        <v>10982408</v>
      </c>
      <c r="L177" s="199">
        <v>-9114061</v>
      </c>
      <c r="M177" s="199">
        <v>643226</v>
      </c>
      <c r="N177" s="182">
        <f t="shared" si="11"/>
        <v>-8470835</v>
      </c>
    </row>
    <row r="178" spans="1:14" x14ac:dyDescent="0.25">
      <c r="A178" s="4">
        <v>35305</v>
      </c>
      <c r="B178" s="198" t="s">
        <v>83</v>
      </c>
      <c r="C178" s="183">
        <v>31518731</v>
      </c>
      <c r="D178" s="183">
        <v>306005</v>
      </c>
      <c r="E178" s="183">
        <v>272939</v>
      </c>
      <c r="F178" s="183">
        <v>2523484</v>
      </c>
      <c r="G178" s="183">
        <v>3113393</v>
      </c>
      <c r="H178" s="183">
        <v>87216</v>
      </c>
      <c r="I178" s="232"/>
      <c r="J178" s="183">
        <v>14344917</v>
      </c>
      <c r="K178" s="183">
        <v>619223</v>
      </c>
      <c r="L178" s="183">
        <v>-3515083</v>
      </c>
      <c r="M178" s="183">
        <v>476701</v>
      </c>
      <c r="N178" s="184">
        <f t="shared" si="11"/>
        <v>-3038382</v>
      </c>
    </row>
    <row r="179" spans="1:14" x14ac:dyDescent="0.25">
      <c r="A179" s="4">
        <v>35400</v>
      </c>
      <c r="B179" s="198" t="s">
        <v>338</v>
      </c>
      <c r="C179" s="183">
        <v>62329706</v>
      </c>
      <c r="D179" s="183">
        <v>605139</v>
      </c>
      <c r="E179" s="183">
        <v>539748</v>
      </c>
      <c r="F179" s="183">
        <v>4990303</v>
      </c>
      <c r="G179" s="183">
        <v>3330084</v>
      </c>
      <c r="H179" s="183">
        <v>172473</v>
      </c>
      <c r="I179" s="232"/>
      <c r="J179" s="183">
        <v>28367717</v>
      </c>
      <c r="K179" s="183">
        <v>3387154</v>
      </c>
      <c r="L179" s="183">
        <v>-6951237</v>
      </c>
      <c r="M179" s="183">
        <v>-346103</v>
      </c>
      <c r="N179" s="184">
        <f t="shared" si="11"/>
        <v>-7297340</v>
      </c>
    </row>
    <row r="180" spans="1:14" x14ac:dyDescent="0.25">
      <c r="A180" s="4">
        <v>35401</v>
      </c>
      <c r="B180" s="198" t="s">
        <v>339</v>
      </c>
      <c r="C180" s="183">
        <v>910965</v>
      </c>
      <c r="D180" s="183">
        <v>8844</v>
      </c>
      <c r="E180" s="183">
        <v>7889</v>
      </c>
      <c r="F180" s="183">
        <v>72935</v>
      </c>
      <c r="G180" s="183">
        <v>370024</v>
      </c>
      <c r="H180" s="183">
        <v>2521</v>
      </c>
      <c r="I180" s="232"/>
      <c r="J180" s="183">
        <v>414602</v>
      </c>
      <c r="K180" s="183">
        <v>91093</v>
      </c>
      <c r="L180" s="183">
        <v>-101594</v>
      </c>
      <c r="M180" s="183">
        <v>96260</v>
      </c>
      <c r="N180" s="184">
        <f t="shared" si="11"/>
        <v>-5334</v>
      </c>
    </row>
    <row r="181" spans="1:14" x14ac:dyDescent="0.25">
      <c r="A181" s="4">
        <v>35405</v>
      </c>
      <c r="B181" s="198" t="s">
        <v>84</v>
      </c>
      <c r="C181" s="184">
        <v>17724558</v>
      </c>
      <c r="D181" s="184">
        <v>172082</v>
      </c>
      <c r="E181" s="184">
        <v>153487</v>
      </c>
      <c r="F181" s="184">
        <v>1419081</v>
      </c>
      <c r="G181" s="184">
        <v>278044</v>
      </c>
      <c r="H181" s="184">
        <v>49046</v>
      </c>
      <c r="I181" s="233"/>
      <c r="J181" s="184">
        <v>8066863</v>
      </c>
      <c r="K181" s="184">
        <v>3165705</v>
      </c>
      <c r="L181" s="184">
        <v>-1976708</v>
      </c>
      <c r="M181" s="184">
        <v>-1317468</v>
      </c>
      <c r="N181" s="184">
        <f t="shared" si="11"/>
        <v>-3294176</v>
      </c>
    </row>
    <row r="182" spans="1:14" x14ac:dyDescent="0.25">
      <c r="A182" s="4">
        <v>35500</v>
      </c>
      <c r="B182" s="198" t="s">
        <v>340</v>
      </c>
      <c r="C182" s="183">
        <v>84670597</v>
      </c>
      <c r="D182" s="183">
        <v>822040</v>
      </c>
      <c r="E182" s="183">
        <v>733211</v>
      </c>
      <c r="F182" s="183">
        <v>6778981</v>
      </c>
      <c r="G182" s="183">
        <v>5093032</v>
      </c>
      <c r="H182" s="183">
        <v>234292</v>
      </c>
      <c r="I182" s="233"/>
      <c r="J182" s="183">
        <v>38535582</v>
      </c>
      <c r="K182" s="183">
        <v>6541727</v>
      </c>
      <c r="L182" s="183">
        <v>-9442778</v>
      </c>
      <c r="M182" s="183">
        <v>-1849775</v>
      </c>
      <c r="N182" s="184">
        <f t="shared" si="11"/>
        <v>-11292553</v>
      </c>
    </row>
    <row r="183" spans="1:14" x14ac:dyDescent="0.25">
      <c r="A183" s="4">
        <v>35600</v>
      </c>
      <c r="B183" s="198" t="s">
        <v>341</v>
      </c>
      <c r="C183" s="183">
        <v>37274935</v>
      </c>
      <c r="D183" s="183">
        <v>361890</v>
      </c>
      <c r="E183" s="183">
        <v>322785</v>
      </c>
      <c r="F183" s="183">
        <v>2984343</v>
      </c>
      <c r="G183" s="183">
        <v>3438444</v>
      </c>
      <c r="H183" s="183">
        <v>103144</v>
      </c>
      <c r="I183" s="232"/>
      <c r="J183" s="183">
        <v>16964700</v>
      </c>
      <c r="K183" s="183">
        <v>1883411</v>
      </c>
      <c r="L183" s="183">
        <v>-4157037</v>
      </c>
      <c r="M183" s="183">
        <v>800750</v>
      </c>
      <c r="N183" s="184">
        <f t="shared" si="11"/>
        <v>-3356287</v>
      </c>
    </row>
    <row r="184" spans="1:14" x14ac:dyDescent="0.25">
      <c r="A184" s="195">
        <v>35700</v>
      </c>
      <c r="B184" s="197" t="s">
        <v>342</v>
      </c>
      <c r="C184" s="182">
        <v>19120025</v>
      </c>
      <c r="D184" s="182">
        <v>185630</v>
      </c>
      <c r="E184" s="182">
        <v>165571</v>
      </c>
      <c r="F184" s="182">
        <v>1530806</v>
      </c>
      <c r="G184" s="182">
        <v>905620</v>
      </c>
      <c r="H184" s="182">
        <v>52907</v>
      </c>
      <c r="I184" s="234"/>
      <c r="J184" s="182">
        <v>8701973</v>
      </c>
      <c r="K184" s="182">
        <v>1313705</v>
      </c>
      <c r="L184" s="182">
        <v>-2132335</v>
      </c>
      <c r="M184" s="182">
        <v>-90600</v>
      </c>
      <c r="N184" s="182">
        <f t="shared" si="11"/>
        <v>-2222935</v>
      </c>
    </row>
    <row r="185" spans="1:14" x14ac:dyDescent="0.25">
      <c r="A185" s="195">
        <v>35800</v>
      </c>
      <c r="B185" s="197" t="s">
        <v>343</v>
      </c>
      <c r="C185" s="199">
        <v>23986545</v>
      </c>
      <c r="D185" s="199">
        <v>232878</v>
      </c>
      <c r="E185" s="199">
        <v>207713</v>
      </c>
      <c r="F185" s="199">
        <v>1920435</v>
      </c>
      <c r="G185" s="199">
        <v>585904</v>
      </c>
      <c r="H185" s="199">
        <v>66373</v>
      </c>
      <c r="I185" s="231"/>
      <c r="J185" s="199">
        <v>10916842</v>
      </c>
      <c r="K185" s="199">
        <v>3181274</v>
      </c>
      <c r="L185" s="199">
        <v>-2675069</v>
      </c>
      <c r="M185" s="199">
        <v>-1118742</v>
      </c>
      <c r="N185" s="182">
        <f t="shared" si="11"/>
        <v>-3793811</v>
      </c>
    </row>
    <row r="186" spans="1:14" x14ac:dyDescent="0.25">
      <c r="A186" s="195">
        <v>35805</v>
      </c>
      <c r="B186" s="197" t="s">
        <v>85</v>
      </c>
      <c r="C186" s="199">
        <v>5034273</v>
      </c>
      <c r="D186" s="199">
        <v>48876</v>
      </c>
      <c r="E186" s="199">
        <v>43595</v>
      </c>
      <c r="F186" s="199">
        <v>403059</v>
      </c>
      <c r="G186" s="199">
        <v>332184</v>
      </c>
      <c r="H186" s="199">
        <v>13930</v>
      </c>
      <c r="I186" s="231"/>
      <c r="J186" s="199">
        <v>2291216</v>
      </c>
      <c r="K186" s="199">
        <v>203917</v>
      </c>
      <c r="L186" s="199">
        <v>-561439</v>
      </c>
      <c r="M186" s="199">
        <v>237607</v>
      </c>
      <c r="N186" s="182">
        <f t="shared" si="11"/>
        <v>-323832</v>
      </c>
    </row>
    <row r="187" spans="1:14" x14ac:dyDescent="0.25">
      <c r="A187" s="195">
        <v>35900</v>
      </c>
      <c r="B187" s="197" t="s">
        <v>344</v>
      </c>
      <c r="C187" s="199">
        <v>47724452</v>
      </c>
      <c r="D187" s="199">
        <v>463341</v>
      </c>
      <c r="E187" s="199">
        <v>413273</v>
      </c>
      <c r="F187" s="199">
        <v>3820962</v>
      </c>
      <c r="G187" s="199">
        <v>1457076</v>
      </c>
      <c r="H187" s="199">
        <v>132058</v>
      </c>
      <c r="I187" s="231"/>
      <c r="J187" s="199">
        <v>21720522</v>
      </c>
      <c r="K187" s="199">
        <v>4993944</v>
      </c>
      <c r="L187" s="199">
        <v>-5322406</v>
      </c>
      <c r="M187" s="199">
        <v>-1479004</v>
      </c>
      <c r="N187" s="182">
        <f t="shared" si="11"/>
        <v>-6801410</v>
      </c>
    </row>
    <row r="188" spans="1:14" x14ac:dyDescent="0.25">
      <c r="A188" s="195">
        <v>35905</v>
      </c>
      <c r="B188" s="197" t="s">
        <v>86</v>
      </c>
      <c r="C188" s="199">
        <v>5782252</v>
      </c>
      <c r="D188" s="199">
        <v>56138</v>
      </c>
      <c r="E188" s="199">
        <v>50072</v>
      </c>
      <c r="F188" s="199">
        <v>462944</v>
      </c>
      <c r="G188" s="199">
        <v>823376</v>
      </c>
      <c r="H188" s="199">
        <v>16000</v>
      </c>
      <c r="I188" s="231"/>
      <c r="J188" s="199">
        <v>2631639</v>
      </c>
      <c r="K188" s="199">
        <v>963567</v>
      </c>
      <c r="L188" s="199">
        <v>-644858</v>
      </c>
      <c r="M188" s="199">
        <v>-271563</v>
      </c>
      <c r="N188" s="182">
        <f t="shared" si="11"/>
        <v>-916421</v>
      </c>
    </row>
    <row r="189" spans="1:14" x14ac:dyDescent="0.25">
      <c r="A189" s="195">
        <v>36000</v>
      </c>
      <c r="B189" s="197" t="s">
        <v>345</v>
      </c>
      <c r="C189" s="199">
        <v>1292000707</v>
      </c>
      <c r="D189" s="199">
        <v>12543618</v>
      </c>
      <c r="E189" s="199">
        <v>11188167</v>
      </c>
      <c r="F189" s="199">
        <v>103441443</v>
      </c>
      <c r="G189" s="199">
        <v>13977162</v>
      </c>
      <c r="H189" s="199">
        <v>3575099</v>
      </c>
      <c r="I189" s="231"/>
      <c r="J189" s="199">
        <v>588019944</v>
      </c>
      <c r="K189" s="199">
        <v>21513186</v>
      </c>
      <c r="L189" s="199">
        <v>-144088668</v>
      </c>
      <c r="M189" s="199">
        <v>9234610</v>
      </c>
      <c r="N189" s="182">
        <f t="shared" si="11"/>
        <v>-134854058</v>
      </c>
    </row>
    <row r="190" spans="1:14" x14ac:dyDescent="0.25">
      <c r="A190" s="4">
        <v>36001</v>
      </c>
      <c r="B190" s="198" t="s">
        <v>470</v>
      </c>
      <c r="C190" s="183">
        <v>0</v>
      </c>
      <c r="D190" s="183">
        <v>0</v>
      </c>
      <c r="E190" s="183">
        <v>0</v>
      </c>
      <c r="F190" s="183">
        <v>0</v>
      </c>
      <c r="G190" s="183">
        <v>0</v>
      </c>
      <c r="H190" s="183">
        <v>0</v>
      </c>
      <c r="I190" s="232"/>
      <c r="J190" s="183">
        <v>0</v>
      </c>
      <c r="K190" s="183">
        <v>218360</v>
      </c>
      <c r="L190" s="183">
        <v>0</v>
      </c>
      <c r="M190" s="183">
        <v>-197118</v>
      </c>
      <c r="N190" s="184">
        <f t="shared" si="11"/>
        <v>-197118</v>
      </c>
    </row>
    <row r="191" spans="1:14" x14ac:dyDescent="0.25">
      <c r="A191" s="4">
        <v>36002</v>
      </c>
      <c r="B191" s="198" t="s">
        <v>471</v>
      </c>
      <c r="C191" s="183">
        <v>0</v>
      </c>
      <c r="D191" s="183">
        <v>0</v>
      </c>
      <c r="E191" s="183">
        <v>0</v>
      </c>
      <c r="F191" s="183">
        <v>0</v>
      </c>
      <c r="G191" s="183">
        <v>0</v>
      </c>
      <c r="H191" s="183">
        <v>0</v>
      </c>
      <c r="I191" s="232"/>
      <c r="J191" s="183">
        <v>0</v>
      </c>
      <c r="K191" s="183">
        <v>161620</v>
      </c>
      <c r="L191" s="183">
        <v>0</v>
      </c>
      <c r="M191" s="183">
        <v>-1070064</v>
      </c>
      <c r="N191" s="184">
        <f t="shared" si="11"/>
        <v>-1070064</v>
      </c>
    </row>
    <row r="192" spans="1:14" x14ac:dyDescent="0.25">
      <c r="A192" s="4">
        <v>36003</v>
      </c>
      <c r="B192" s="198" t="s">
        <v>346</v>
      </c>
      <c r="C192" s="183">
        <v>9127872</v>
      </c>
      <c r="D192" s="183">
        <v>88620</v>
      </c>
      <c r="E192" s="183">
        <v>79043</v>
      </c>
      <c r="F192" s="183">
        <v>730805</v>
      </c>
      <c r="G192" s="183">
        <v>1271616</v>
      </c>
      <c r="H192" s="183">
        <v>25258</v>
      </c>
      <c r="I192" s="232"/>
      <c r="J192" s="183">
        <v>4154309</v>
      </c>
      <c r="K192" s="183">
        <v>980004</v>
      </c>
      <c r="L192" s="183">
        <v>-1017976</v>
      </c>
      <c r="M192" s="183">
        <v>-58923</v>
      </c>
      <c r="N192" s="184">
        <f t="shared" si="11"/>
        <v>-1076899</v>
      </c>
    </row>
    <row r="193" spans="1:14" x14ac:dyDescent="0.25">
      <c r="A193" s="4">
        <v>36004</v>
      </c>
      <c r="B193" s="198" t="s">
        <v>472</v>
      </c>
      <c r="C193" s="184">
        <v>7316593</v>
      </c>
      <c r="D193" s="184">
        <v>71034</v>
      </c>
      <c r="E193" s="184">
        <v>63359</v>
      </c>
      <c r="F193" s="184">
        <v>585788</v>
      </c>
      <c r="G193" s="184">
        <v>1646661</v>
      </c>
      <c r="H193" s="184">
        <v>20246</v>
      </c>
      <c r="I193" s="233"/>
      <c r="J193" s="184">
        <v>3329954</v>
      </c>
      <c r="K193" s="184">
        <v>0</v>
      </c>
      <c r="L193" s="184">
        <v>-815974</v>
      </c>
      <c r="M193" s="184">
        <v>715557</v>
      </c>
      <c r="N193" s="184">
        <f t="shared" ref="N193:N256" si="12">SUM(L193:M193)</f>
        <v>-100417</v>
      </c>
    </row>
    <row r="194" spans="1:14" x14ac:dyDescent="0.25">
      <c r="A194" s="4">
        <v>36005</v>
      </c>
      <c r="B194" s="198" t="s">
        <v>87</v>
      </c>
      <c r="C194" s="183">
        <v>89008864</v>
      </c>
      <c r="D194" s="183">
        <v>864158</v>
      </c>
      <c r="E194" s="183">
        <v>770778</v>
      </c>
      <c r="F194" s="183">
        <v>7126316</v>
      </c>
      <c r="G194" s="183">
        <v>1215654</v>
      </c>
      <c r="H194" s="183">
        <v>246297</v>
      </c>
      <c r="I194" s="233"/>
      <c r="J194" s="183">
        <v>40510030</v>
      </c>
      <c r="K194" s="183">
        <v>12428308</v>
      </c>
      <c r="L194" s="183">
        <v>-9926598</v>
      </c>
      <c r="M194" s="183">
        <v>-4799203</v>
      </c>
      <c r="N194" s="184">
        <f t="shared" si="12"/>
        <v>-14725801</v>
      </c>
    </row>
    <row r="195" spans="1:14" x14ac:dyDescent="0.25">
      <c r="A195" s="4">
        <v>36006</v>
      </c>
      <c r="B195" s="198" t="s">
        <v>347</v>
      </c>
      <c r="C195" s="183">
        <v>15255346</v>
      </c>
      <c r="D195" s="183">
        <v>148109</v>
      </c>
      <c r="E195" s="183">
        <v>132105</v>
      </c>
      <c r="F195" s="183">
        <v>1221389</v>
      </c>
      <c r="G195" s="183">
        <v>1281148</v>
      </c>
      <c r="H195" s="183">
        <v>42213</v>
      </c>
      <c r="I195" s="232"/>
      <c r="J195" s="183">
        <v>6943067</v>
      </c>
      <c r="K195" s="183">
        <v>0</v>
      </c>
      <c r="L195" s="183">
        <v>-1701332</v>
      </c>
      <c r="M195" s="183">
        <v>1022017</v>
      </c>
      <c r="N195" s="184">
        <f t="shared" si="12"/>
        <v>-679315</v>
      </c>
    </row>
    <row r="196" spans="1:14" x14ac:dyDescent="0.25">
      <c r="A196" s="195">
        <v>36007</v>
      </c>
      <c r="B196" s="197" t="s">
        <v>348</v>
      </c>
      <c r="C196" s="182">
        <v>5708434</v>
      </c>
      <c r="D196" s="182">
        <v>55421</v>
      </c>
      <c r="E196" s="182">
        <v>49433</v>
      </c>
      <c r="F196" s="182">
        <v>457034</v>
      </c>
      <c r="G196" s="182">
        <v>1616648</v>
      </c>
      <c r="H196" s="182">
        <v>15796</v>
      </c>
      <c r="I196" s="234"/>
      <c r="J196" s="182">
        <v>2598043</v>
      </c>
      <c r="K196" s="182">
        <v>102740</v>
      </c>
      <c r="L196" s="182">
        <v>-636624</v>
      </c>
      <c r="M196" s="182">
        <v>520101</v>
      </c>
      <c r="N196" s="182">
        <f t="shared" si="12"/>
        <v>-116523</v>
      </c>
    </row>
    <row r="197" spans="1:14" x14ac:dyDescent="0.25">
      <c r="A197" s="195">
        <v>36008</v>
      </c>
      <c r="B197" s="197" t="s">
        <v>349</v>
      </c>
      <c r="C197" s="199">
        <v>13578523</v>
      </c>
      <c r="D197" s="199">
        <v>131830</v>
      </c>
      <c r="E197" s="199">
        <v>117584</v>
      </c>
      <c r="F197" s="199">
        <v>1087137</v>
      </c>
      <c r="G197" s="199">
        <v>1171078</v>
      </c>
      <c r="H197" s="199">
        <v>37573</v>
      </c>
      <c r="I197" s="231"/>
      <c r="J197" s="199">
        <v>6179906</v>
      </c>
      <c r="K197" s="199">
        <v>691453</v>
      </c>
      <c r="L197" s="199">
        <v>-1514326</v>
      </c>
      <c r="M197" s="199">
        <v>302702</v>
      </c>
      <c r="N197" s="182">
        <f t="shared" si="12"/>
        <v>-1211624</v>
      </c>
    </row>
    <row r="198" spans="1:14" x14ac:dyDescent="0.25">
      <c r="A198" s="195">
        <v>36009</v>
      </c>
      <c r="B198" s="197" t="s">
        <v>350</v>
      </c>
      <c r="C198" s="199">
        <v>1973819</v>
      </c>
      <c r="D198" s="199">
        <v>19163</v>
      </c>
      <c r="E198" s="199">
        <v>17092</v>
      </c>
      <c r="F198" s="199">
        <v>158030</v>
      </c>
      <c r="G198" s="199">
        <v>60088</v>
      </c>
      <c r="H198" s="199">
        <v>5462</v>
      </c>
      <c r="I198" s="231"/>
      <c r="J198" s="199">
        <v>898332</v>
      </c>
      <c r="K198" s="199">
        <v>1147148</v>
      </c>
      <c r="L198" s="199">
        <v>-220127</v>
      </c>
      <c r="M198" s="199">
        <v>-570588</v>
      </c>
      <c r="N198" s="182">
        <f t="shared" si="12"/>
        <v>-790715</v>
      </c>
    </row>
    <row r="199" spans="1:14" x14ac:dyDescent="0.25">
      <c r="A199" s="195">
        <v>36100</v>
      </c>
      <c r="B199" s="197" t="s">
        <v>351</v>
      </c>
      <c r="C199" s="199">
        <v>14710023</v>
      </c>
      <c r="D199" s="199">
        <v>142815</v>
      </c>
      <c r="E199" s="199">
        <v>127382</v>
      </c>
      <c r="F199" s="199">
        <v>1177728</v>
      </c>
      <c r="G199" s="199">
        <v>1078444</v>
      </c>
      <c r="H199" s="199">
        <v>40704</v>
      </c>
      <c r="I199" s="231"/>
      <c r="J199" s="199">
        <v>6694878</v>
      </c>
      <c r="K199" s="199">
        <v>1678880</v>
      </c>
      <c r="L199" s="199">
        <v>-1640516</v>
      </c>
      <c r="M199" s="199">
        <v>-311769</v>
      </c>
      <c r="N199" s="182">
        <f t="shared" si="12"/>
        <v>-1952285</v>
      </c>
    </row>
    <row r="200" spans="1:14" x14ac:dyDescent="0.25">
      <c r="A200" s="195">
        <v>36102</v>
      </c>
      <c r="B200" s="197" t="s">
        <v>352</v>
      </c>
      <c r="C200" s="199">
        <v>0</v>
      </c>
      <c r="D200" s="199">
        <v>0</v>
      </c>
      <c r="E200" s="199">
        <v>0</v>
      </c>
      <c r="F200" s="199">
        <v>0</v>
      </c>
      <c r="G200" s="199">
        <v>1270248</v>
      </c>
      <c r="H200" s="199">
        <v>0</v>
      </c>
      <c r="I200" s="231"/>
      <c r="J200" s="199">
        <v>0</v>
      </c>
      <c r="K200" s="199">
        <v>7456156</v>
      </c>
      <c r="L200" s="199">
        <v>0</v>
      </c>
      <c r="M200" s="199">
        <v>-997450</v>
      </c>
      <c r="N200" s="182">
        <f t="shared" si="12"/>
        <v>-997450</v>
      </c>
    </row>
    <row r="201" spans="1:14" x14ac:dyDescent="0.25">
      <c r="A201" s="195">
        <v>36105</v>
      </c>
      <c r="B201" s="197" t="s">
        <v>88</v>
      </c>
      <c r="C201" s="199">
        <v>6640883</v>
      </c>
      <c r="D201" s="199">
        <v>64474</v>
      </c>
      <c r="E201" s="199">
        <v>57507</v>
      </c>
      <c r="F201" s="199">
        <v>531689</v>
      </c>
      <c r="G201" s="199">
        <v>253241</v>
      </c>
      <c r="H201" s="199">
        <v>18376</v>
      </c>
      <c r="I201" s="231"/>
      <c r="J201" s="199">
        <v>3022422</v>
      </c>
      <c r="K201" s="199">
        <v>1551984</v>
      </c>
      <c r="L201" s="199">
        <v>-740616</v>
      </c>
      <c r="M201" s="199">
        <v>-421244</v>
      </c>
      <c r="N201" s="182">
        <f t="shared" si="12"/>
        <v>-1161860</v>
      </c>
    </row>
    <row r="202" spans="1:14" x14ac:dyDescent="0.25">
      <c r="A202" s="4">
        <v>36200</v>
      </c>
      <c r="B202" s="198" t="s">
        <v>353</v>
      </c>
      <c r="C202" s="183">
        <v>26504875</v>
      </c>
      <c r="D202" s="183">
        <v>257327</v>
      </c>
      <c r="E202" s="183">
        <v>229521</v>
      </c>
      <c r="F202" s="183">
        <v>2122060</v>
      </c>
      <c r="G202" s="183">
        <v>0</v>
      </c>
      <c r="H202" s="183">
        <v>73342</v>
      </c>
      <c r="I202" s="232"/>
      <c r="J202" s="183">
        <v>12062993</v>
      </c>
      <c r="K202" s="183">
        <v>5420065</v>
      </c>
      <c r="L202" s="183">
        <v>-2955920</v>
      </c>
      <c r="M202" s="183">
        <v>-1747922</v>
      </c>
      <c r="N202" s="184">
        <f t="shared" si="12"/>
        <v>-4703842</v>
      </c>
    </row>
    <row r="203" spans="1:14" x14ac:dyDescent="0.25">
      <c r="A203" s="4">
        <v>36205</v>
      </c>
      <c r="B203" s="198" t="s">
        <v>89</v>
      </c>
      <c r="C203" s="183">
        <v>6183941</v>
      </c>
      <c r="D203" s="183">
        <v>60038</v>
      </c>
      <c r="E203" s="183">
        <v>53550</v>
      </c>
      <c r="F203" s="183">
        <v>495105</v>
      </c>
      <c r="G203" s="183">
        <v>427443</v>
      </c>
      <c r="H203" s="183">
        <v>17112</v>
      </c>
      <c r="I203" s="232"/>
      <c r="J203" s="183">
        <v>2814457</v>
      </c>
      <c r="K203" s="183">
        <v>146920</v>
      </c>
      <c r="L203" s="183">
        <v>-689654</v>
      </c>
      <c r="M203" s="183">
        <v>115323</v>
      </c>
      <c r="N203" s="184">
        <f t="shared" si="12"/>
        <v>-574331</v>
      </c>
    </row>
    <row r="204" spans="1:14" x14ac:dyDescent="0.25">
      <c r="A204" s="4">
        <v>36300</v>
      </c>
      <c r="B204" s="198" t="s">
        <v>354</v>
      </c>
      <c r="C204" s="183">
        <v>98125157</v>
      </c>
      <c r="D204" s="183">
        <v>952666</v>
      </c>
      <c r="E204" s="183">
        <v>849721</v>
      </c>
      <c r="F204" s="183">
        <v>7856194</v>
      </c>
      <c r="G204" s="183">
        <v>412878</v>
      </c>
      <c r="H204" s="183">
        <v>271522</v>
      </c>
      <c r="I204" s="232"/>
      <c r="J204" s="183">
        <v>44659069</v>
      </c>
      <c r="K204" s="183">
        <v>9474318</v>
      </c>
      <c r="L204" s="183">
        <v>-10943281</v>
      </c>
      <c r="M204" s="183">
        <v>-1758427</v>
      </c>
      <c r="N204" s="184">
        <f t="shared" si="12"/>
        <v>-12701708</v>
      </c>
    </row>
    <row r="205" spans="1:14" x14ac:dyDescent="0.25">
      <c r="A205" s="4">
        <v>36301</v>
      </c>
      <c r="B205" s="198" t="s">
        <v>355</v>
      </c>
      <c r="C205" s="184">
        <v>2785503</v>
      </c>
      <c r="D205" s="184">
        <v>27044</v>
      </c>
      <c r="E205" s="184">
        <v>24121</v>
      </c>
      <c r="F205" s="184">
        <v>223016</v>
      </c>
      <c r="G205" s="184">
        <v>923509</v>
      </c>
      <c r="H205" s="184">
        <v>7708</v>
      </c>
      <c r="I205" s="233"/>
      <c r="J205" s="184">
        <v>1267748</v>
      </c>
      <c r="K205" s="184">
        <v>0</v>
      </c>
      <c r="L205" s="184">
        <v>-310652</v>
      </c>
      <c r="M205" s="184">
        <v>417200</v>
      </c>
      <c r="N205" s="184">
        <f t="shared" si="12"/>
        <v>106548</v>
      </c>
    </row>
    <row r="206" spans="1:14" x14ac:dyDescent="0.25">
      <c r="A206" s="4">
        <v>36302</v>
      </c>
      <c r="B206" s="198" t="s">
        <v>356</v>
      </c>
      <c r="C206" s="183">
        <v>4255989</v>
      </c>
      <c r="D206" s="183">
        <v>41320</v>
      </c>
      <c r="E206" s="183">
        <v>36855</v>
      </c>
      <c r="F206" s="183">
        <v>340747</v>
      </c>
      <c r="G206" s="183">
        <v>1483008</v>
      </c>
      <c r="H206" s="183">
        <v>11777</v>
      </c>
      <c r="I206" s="233"/>
      <c r="J206" s="183">
        <v>1937001</v>
      </c>
      <c r="K206" s="183">
        <v>4367</v>
      </c>
      <c r="L206" s="183">
        <v>-474642</v>
      </c>
      <c r="M206" s="183">
        <v>451043</v>
      </c>
      <c r="N206" s="184">
        <f t="shared" si="12"/>
        <v>-23599</v>
      </c>
    </row>
    <row r="207" spans="1:14" x14ac:dyDescent="0.25">
      <c r="A207" s="4">
        <v>36303</v>
      </c>
      <c r="B207" s="198" t="s">
        <v>245</v>
      </c>
      <c r="C207" s="183">
        <v>5887999</v>
      </c>
      <c r="D207" s="183">
        <v>57165</v>
      </c>
      <c r="E207" s="183">
        <v>50988</v>
      </c>
      <c r="F207" s="183">
        <v>471411</v>
      </c>
      <c r="G207" s="183">
        <v>3150001</v>
      </c>
      <c r="H207" s="183">
        <v>16293</v>
      </c>
      <c r="I207" s="232"/>
      <c r="J207" s="183">
        <v>2679767</v>
      </c>
      <c r="K207" s="183">
        <v>0</v>
      </c>
      <c r="L207" s="183">
        <v>-656652</v>
      </c>
      <c r="M207" s="183">
        <v>1745303</v>
      </c>
      <c r="N207" s="184">
        <f t="shared" si="12"/>
        <v>1088651</v>
      </c>
    </row>
    <row r="208" spans="1:14" x14ac:dyDescent="0.25">
      <c r="A208" s="195">
        <v>36305</v>
      </c>
      <c r="B208" s="197" t="s">
        <v>90</v>
      </c>
      <c r="C208" s="182">
        <v>19547948</v>
      </c>
      <c r="D208" s="182">
        <v>189785</v>
      </c>
      <c r="E208" s="182">
        <v>169277</v>
      </c>
      <c r="F208" s="182">
        <v>1565067</v>
      </c>
      <c r="G208" s="182">
        <v>1210960</v>
      </c>
      <c r="H208" s="182">
        <v>54091</v>
      </c>
      <c r="I208" s="234"/>
      <c r="J208" s="182">
        <v>8896731</v>
      </c>
      <c r="K208" s="182">
        <v>227852</v>
      </c>
      <c r="L208" s="182">
        <v>-2180060</v>
      </c>
      <c r="M208" s="182">
        <v>-295608</v>
      </c>
      <c r="N208" s="182">
        <f t="shared" si="12"/>
        <v>-2475668</v>
      </c>
    </row>
    <row r="209" spans="1:14" x14ac:dyDescent="0.25">
      <c r="A209" s="195">
        <v>36310</v>
      </c>
      <c r="B209" s="197" t="s">
        <v>505</v>
      </c>
      <c r="C209" s="199">
        <v>0</v>
      </c>
      <c r="D209" s="199">
        <v>0</v>
      </c>
      <c r="E209" s="199">
        <v>0</v>
      </c>
      <c r="F209" s="199">
        <v>0</v>
      </c>
      <c r="G209" s="199">
        <v>0</v>
      </c>
      <c r="H209" s="199">
        <v>0</v>
      </c>
      <c r="I209" s="231"/>
      <c r="J209" s="199">
        <v>0</v>
      </c>
      <c r="K209" s="199">
        <v>179981</v>
      </c>
      <c r="L209" s="199">
        <v>0</v>
      </c>
      <c r="M209" s="199">
        <v>-1392</v>
      </c>
      <c r="N209" s="182">
        <f t="shared" si="12"/>
        <v>-1392</v>
      </c>
    </row>
    <row r="210" spans="1:14" x14ac:dyDescent="0.25">
      <c r="A210" s="195">
        <v>36400</v>
      </c>
      <c r="B210" s="197" t="s">
        <v>357</v>
      </c>
      <c r="C210" s="199">
        <v>105849015</v>
      </c>
      <c r="D210" s="199">
        <v>1027654</v>
      </c>
      <c r="E210" s="199">
        <v>916607</v>
      </c>
      <c r="F210" s="199">
        <v>8474589</v>
      </c>
      <c r="G210" s="199">
        <v>8434244</v>
      </c>
      <c r="H210" s="199">
        <v>292895</v>
      </c>
      <c r="I210" s="231"/>
      <c r="J210" s="199">
        <v>48174379</v>
      </c>
      <c r="K210" s="199">
        <v>15122416</v>
      </c>
      <c r="L210" s="199">
        <v>-11804671</v>
      </c>
      <c r="M210" s="199">
        <v>-1263291</v>
      </c>
      <c r="N210" s="182">
        <f t="shared" si="12"/>
        <v>-13067962</v>
      </c>
    </row>
    <row r="211" spans="1:14" x14ac:dyDescent="0.25">
      <c r="A211" s="195">
        <v>36405</v>
      </c>
      <c r="B211" s="197" t="s">
        <v>91</v>
      </c>
      <c r="C211" s="199">
        <v>15394692</v>
      </c>
      <c r="D211" s="199">
        <v>149462</v>
      </c>
      <c r="E211" s="199">
        <v>133311</v>
      </c>
      <c r="F211" s="199">
        <v>1232545</v>
      </c>
      <c r="G211" s="199">
        <v>160287</v>
      </c>
      <c r="H211" s="199">
        <v>42599</v>
      </c>
      <c r="I211" s="231"/>
      <c r="J211" s="199">
        <v>7006487</v>
      </c>
      <c r="K211" s="199">
        <v>3433085</v>
      </c>
      <c r="L211" s="199">
        <v>-1716874</v>
      </c>
      <c r="M211" s="199">
        <v>-1026460</v>
      </c>
      <c r="N211" s="182">
        <f t="shared" si="12"/>
        <v>-2743334</v>
      </c>
    </row>
    <row r="212" spans="1:14" x14ac:dyDescent="0.25">
      <c r="A212" s="195">
        <v>36500</v>
      </c>
      <c r="B212" s="197" t="s">
        <v>358</v>
      </c>
      <c r="C212" s="199">
        <v>223112670</v>
      </c>
      <c r="D212" s="199">
        <v>2166129</v>
      </c>
      <c r="E212" s="199">
        <v>1932059</v>
      </c>
      <c r="F212" s="199">
        <v>17863068</v>
      </c>
      <c r="G212" s="199">
        <v>823528</v>
      </c>
      <c r="H212" s="199">
        <v>617376</v>
      </c>
      <c r="I212" s="231"/>
      <c r="J212" s="199">
        <v>101543829</v>
      </c>
      <c r="K212" s="199">
        <v>8768870</v>
      </c>
      <c r="L212" s="199">
        <v>-24882346</v>
      </c>
      <c r="M212" s="199">
        <v>657096</v>
      </c>
      <c r="N212" s="182">
        <f t="shared" si="12"/>
        <v>-24225250</v>
      </c>
    </row>
    <row r="213" spans="1:14" x14ac:dyDescent="0.25">
      <c r="A213" s="195">
        <v>36501</v>
      </c>
      <c r="B213" s="197" t="s">
        <v>473</v>
      </c>
      <c r="C213" s="199">
        <v>3075367</v>
      </c>
      <c r="D213" s="199">
        <v>29858</v>
      </c>
      <c r="E213" s="199">
        <v>26631</v>
      </c>
      <c r="F213" s="199">
        <v>246223</v>
      </c>
      <c r="G213" s="199">
        <v>126532</v>
      </c>
      <c r="H213" s="199">
        <v>8510</v>
      </c>
      <c r="I213" s="231"/>
      <c r="J213" s="199">
        <v>1399672</v>
      </c>
      <c r="K213" s="199">
        <v>136628</v>
      </c>
      <c r="L213" s="199">
        <v>-342975</v>
      </c>
      <c r="M213" s="199">
        <v>112891</v>
      </c>
      <c r="N213" s="182">
        <f t="shared" si="12"/>
        <v>-230084</v>
      </c>
    </row>
    <row r="214" spans="1:14" x14ac:dyDescent="0.25">
      <c r="A214" s="4">
        <v>36502</v>
      </c>
      <c r="B214" s="198" t="s">
        <v>359</v>
      </c>
      <c r="C214" s="183">
        <v>734863</v>
      </c>
      <c r="D214" s="183">
        <v>7135</v>
      </c>
      <c r="E214" s="183">
        <v>6364</v>
      </c>
      <c r="F214" s="183">
        <v>58835</v>
      </c>
      <c r="G214" s="183">
        <v>13841</v>
      </c>
      <c r="H214" s="183">
        <v>2033</v>
      </c>
      <c r="I214" s="232"/>
      <c r="J214" s="183">
        <v>334453</v>
      </c>
      <c r="K214" s="183">
        <v>449698</v>
      </c>
      <c r="L214" s="183">
        <v>-81956</v>
      </c>
      <c r="M214" s="183">
        <v>-113640</v>
      </c>
      <c r="N214" s="184">
        <f t="shared" si="12"/>
        <v>-195596</v>
      </c>
    </row>
    <row r="215" spans="1:14" x14ac:dyDescent="0.25">
      <c r="A215" s="4">
        <v>36505</v>
      </c>
      <c r="B215" s="198" t="s">
        <v>92</v>
      </c>
      <c r="C215" s="183">
        <v>40950824</v>
      </c>
      <c r="D215" s="183">
        <v>397578</v>
      </c>
      <c r="E215" s="183">
        <v>354616</v>
      </c>
      <c r="F215" s="183">
        <v>3278646</v>
      </c>
      <c r="G215" s="183">
        <v>1099596</v>
      </c>
      <c r="H215" s="183">
        <v>113315</v>
      </c>
      <c r="I215" s="232"/>
      <c r="J215" s="183">
        <v>18637684</v>
      </c>
      <c r="K215" s="183">
        <v>3220815</v>
      </c>
      <c r="L215" s="183">
        <v>-4566986</v>
      </c>
      <c r="M215" s="183">
        <v>-746980</v>
      </c>
      <c r="N215" s="184">
        <f t="shared" si="12"/>
        <v>-5313966</v>
      </c>
    </row>
    <row r="216" spans="1:14" x14ac:dyDescent="0.25">
      <c r="A216" s="4">
        <v>36600</v>
      </c>
      <c r="B216" s="198" t="s">
        <v>360</v>
      </c>
      <c r="C216" s="183">
        <v>12739433</v>
      </c>
      <c r="D216" s="183">
        <v>123683</v>
      </c>
      <c r="E216" s="183">
        <v>110318</v>
      </c>
      <c r="F216" s="183">
        <v>1019957</v>
      </c>
      <c r="G216" s="183">
        <v>580104</v>
      </c>
      <c r="H216" s="183">
        <v>35251</v>
      </c>
      <c r="I216" s="232"/>
      <c r="J216" s="183">
        <v>5798016</v>
      </c>
      <c r="K216" s="183">
        <v>3342187</v>
      </c>
      <c r="L216" s="183">
        <v>-1420747</v>
      </c>
      <c r="M216" s="183">
        <v>-918630</v>
      </c>
      <c r="N216" s="184">
        <f t="shared" si="12"/>
        <v>-2339377</v>
      </c>
    </row>
    <row r="217" spans="1:14" x14ac:dyDescent="0.25">
      <c r="A217" s="4">
        <v>36601</v>
      </c>
      <c r="B217" s="198" t="s">
        <v>361</v>
      </c>
      <c r="C217" s="184">
        <v>0</v>
      </c>
      <c r="D217" s="184">
        <v>0</v>
      </c>
      <c r="E217" s="184">
        <v>0</v>
      </c>
      <c r="F217" s="184">
        <v>0</v>
      </c>
      <c r="G217" s="184">
        <v>63720</v>
      </c>
      <c r="H217" s="184">
        <v>0</v>
      </c>
      <c r="I217" s="233"/>
      <c r="J217" s="184">
        <v>0</v>
      </c>
      <c r="K217" s="184">
        <v>10694587</v>
      </c>
      <c r="L217" s="184">
        <v>0</v>
      </c>
      <c r="M217" s="184">
        <v>-2381045</v>
      </c>
      <c r="N217" s="184">
        <f t="shared" si="12"/>
        <v>-2381045</v>
      </c>
    </row>
    <row r="218" spans="1:14" x14ac:dyDescent="0.25">
      <c r="A218" s="4">
        <v>36700</v>
      </c>
      <c r="B218" s="198" t="s">
        <v>362</v>
      </c>
      <c r="C218" s="183">
        <v>184315139</v>
      </c>
      <c r="D218" s="183">
        <v>1789456</v>
      </c>
      <c r="E218" s="183">
        <v>1596089</v>
      </c>
      <c r="F218" s="183">
        <v>14756822</v>
      </c>
      <c r="G218" s="183">
        <v>507543</v>
      </c>
      <c r="H218" s="183">
        <v>510019</v>
      </c>
      <c r="I218" s="233"/>
      <c r="J218" s="183">
        <v>83886160</v>
      </c>
      <c r="K218" s="183">
        <v>18279272</v>
      </c>
      <c r="L218" s="183">
        <v>-20555503</v>
      </c>
      <c r="M218" s="183">
        <v>-2067565</v>
      </c>
      <c r="N218" s="184">
        <f t="shared" si="12"/>
        <v>-22623068</v>
      </c>
    </row>
    <row r="219" spans="1:14" x14ac:dyDescent="0.25">
      <c r="A219" s="4">
        <v>36701</v>
      </c>
      <c r="B219" s="198" t="s">
        <v>363</v>
      </c>
      <c r="C219" s="183">
        <v>689134</v>
      </c>
      <c r="D219" s="183">
        <v>6691</v>
      </c>
      <c r="E219" s="183">
        <v>5968</v>
      </c>
      <c r="F219" s="183">
        <v>55174</v>
      </c>
      <c r="G219" s="183">
        <v>222647</v>
      </c>
      <c r="H219" s="183">
        <v>1907</v>
      </c>
      <c r="I219" s="232"/>
      <c r="J219" s="183">
        <v>313641</v>
      </c>
      <c r="K219" s="183">
        <v>444333</v>
      </c>
      <c r="L219" s="183">
        <v>-76854</v>
      </c>
      <c r="M219" s="183">
        <v>-98856</v>
      </c>
      <c r="N219" s="184">
        <f t="shared" si="12"/>
        <v>-175710</v>
      </c>
    </row>
    <row r="220" spans="1:14" x14ac:dyDescent="0.25">
      <c r="A220" s="195">
        <v>36705</v>
      </c>
      <c r="B220" s="197" t="s">
        <v>93</v>
      </c>
      <c r="C220" s="182">
        <v>22019014</v>
      </c>
      <c r="D220" s="182">
        <v>213776</v>
      </c>
      <c r="E220" s="182">
        <v>190675</v>
      </c>
      <c r="F220" s="182">
        <v>1762908</v>
      </c>
      <c r="G220" s="182">
        <v>2762833</v>
      </c>
      <c r="H220" s="182">
        <v>60929</v>
      </c>
      <c r="I220" s="234"/>
      <c r="J220" s="182">
        <v>10021372</v>
      </c>
      <c r="K220" s="182">
        <v>2655676</v>
      </c>
      <c r="L220" s="182">
        <v>-2455641</v>
      </c>
      <c r="M220" s="182">
        <v>63581</v>
      </c>
      <c r="N220" s="182">
        <f t="shared" si="12"/>
        <v>-2392060</v>
      </c>
    </row>
    <row r="221" spans="1:14" x14ac:dyDescent="0.25">
      <c r="A221" s="195">
        <v>36800</v>
      </c>
      <c r="B221" s="197" t="s">
        <v>364</v>
      </c>
      <c r="C221" s="199">
        <v>69308459</v>
      </c>
      <c r="D221" s="199">
        <v>672893</v>
      </c>
      <c r="E221" s="199">
        <v>600181</v>
      </c>
      <c r="F221" s="199">
        <v>5549043</v>
      </c>
      <c r="G221" s="199">
        <v>1549504</v>
      </c>
      <c r="H221" s="199">
        <v>191784</v>
      </c>
      <c r="I221" s="231"/>
      <c r="J221" s="199">
        <v>31543912</v>
      </c>
      <c r="K221" s="199">
        <v>6253475</v>
      </c>
      <c r="L221" s="199">
        <v>-7729535</v>
      </c>
      <c r="M221" s="199">
        <v>-787633</v>
      </c>
      <c r="N221" s="182">
        <f t="shared" si="12"/>
        <v>-8517168</v>
      </c>
    </row>
    <row r="222" spans="1:14" x14ac:dyDescent="0.25">
      <c r="A222" s="195">
        <v>36802</v>
      </c>
      <c r="B222" s="197" t="s">
        <v>365</v>
      </c>
      <c r="C222" s="199">
        <v>5884256</v>
      </c>
      <c r="D222" s="199">
        <v>57128</v>
      </c>
      <c r="E222" s="199">
        <v>50955</v>
      </c>
      <c r="F222" s="199">
        <v>471111</v>
      </c>
      <c r="G222" s="199">
        <v>1969027</v>
      </c>
      <c r="H222" s="199">
        <v>16282</v>
      </c>
      <c r="I222" s="231"/>
      <c r="J222" s="199">
        <v>2678064</v>
      </c>
      <c r="K222" s="199">
        <v>111004</v>
      </c>
      <c r="L222" s="199">
        <v>-656234</v>
      </c>
      <c r="M222" s="199">
        <v>1150663</v>
      </c>
      <c r="N222" s="182">
        <f t="shared" si="12"/>
        <v>494429</v>
      </c>
    </row>
    <row r="223" spans="1:14" x14ac:dyDescent="0.25">
      <c r="A223" s="195">
        <v>36810</v>
      </c>
      <c r="B223" s="197" t="s">
        <v>474</v>
      </c>
      <c r="C223" s="199">
        <v>141759605</v>
      </c>
      <c r="D223" s="199">
        <v>1376298</v>
      </c>
      <c r="E223" s="199">
        <v>1227577</v>
      </c>
      <c r="F223" s="199">
        <v>11349698</v>
      </c>
      <c r="G223" s="199">
        <v>3720563</v>
      </c>
      <c r="H223" s="199">
        <v>392263</v>
      </c>
      <c r="I223" s="231"/>
      <c r="J223" s="199">
        <v>64518134</v>
      </c>
      <c r="K223" s="199">
        <v>4819180</v>
      </c>
      <c r="L223" s="199">
        <v>-15809551</v>
      </c>
      <c r="M223" s="199">
        <v>-50139</v>
      </c>
      <c r="N223" s="182">
        <f t="shared" si="12"/>
        <v>-15859690</v>
      </c>
    </row>
    <row r="224" spans="1:14" x14ac:dyDescent="0.25">
      <c r="A224" s="195">
        <v>36900</v>
      </c>
      <c r="B224" s="197" t="s">
        <v>366</v>
      </c>
      <c r="C224" s="199">
        <v>13783730</v>
      </c>
      <c r="D224" s="199">
        <v>133822</v>
      </c>
      <c r="E224" s="199">
        <v>119361</v>
      </c>
      <c r="F224" s="199">
        <v>1103567</v>
      </c>
      <c r="G224" s="199">
        <v>2187713</v>
      </c>
      <c r="H224" s="199">
        <v>38141</v>
      </c>
      <c r="I224" s="231"/>
      <c r="J224" s="199">
        <v>6273300</v>
      </c>
      <c r="K224" s="199">
        <v>1662939</v>
      </c>
      <c r="L224" s="199">
        <v>-1537213</v>
      </c>
      <c r="M224" s="199">
        <v>143551</v>
      </c>
      <c r="N224" s="182">
        <f t="shared" si="12"/>
        <v>-1393662</v>
      </c>
    </row>
    <row r="225" spans="1:14" x14ac:dyDescent="0.25">
      <c r="A225" s="195">
        <v>36901</v>
      </c>
      <c r="B225" s="197" t="s">
        <v>367</v>
      </c>
      <c r="C225" s="199">
        <v>4459200</v>
      </c>
      <c r="D225" s="199">
        <v>43293</v>
      </c>
      <c r="E225" s="199">
        <v>38615</v>
      </c>
      <c r="F225" s="199">
        <v>357017</v>
      </c>
      <c r="G225" s="199">
        <v>314370</v>
      </c>
      <c r="H225" s="199">
        <v>12339</v>
      </c>
      <c r="I225" s="231"/>
      <c r="J225" s="199">
        <v>2029487</v>
      </c>
      <c r="K225" s="199">
        <v>907704</v>
      </c>
      <c r="L225" s="199">
        <v>-497306</v>
      </c>
      <c r="M225" s="199">
        <v>50390</v>
      </c>
      <c r="N225" s="182">
        <f t="shared" si="12"/>
        <v>-446916</v>
      </c>
    </row>
    <row r="226" spans="1:14" x14ac:dyDescent="0.25">
      <c r="A226" s="4">
        <v>36905</v>
      </c>
      <c r="B226" s="198" t="s">
        <v>94</v>
      </c>
      <c r="C226" s="183">
        <v>4372546</v>
      </c>
      <c r="D226" s="183">
        <v>42452</v>
      </c>
      <c r="E226" s="183">
        <v>37864</v>
      </c>
      <c r="F226" s="183">
        <v>350079</v>
      </c>
      <c r="G226" s="183">
        <v>277030</v>
      </c>
      <c r="H226" s="183">
        <v>12099</v>
      </c>
      <c r="I226" s="232"/>
      <c r="J226" s="183">
        <v>1990049</v>
      </c>
      <c r="K226" s="183">
        <v>518245</v>
      </c>
      <c r="L226" s="183">
        <v>-487642</v>
      </c>
      <c r="M226" s="183">
        <v>132582</v>
      </c>
      <c r="N226" s="184">
        <f t="shared" si="12"/>
        <v>-355060</v>
      </c>
    </row>
    <row r="227" spans="1:14" x14ac:dyDescent="0.25">
      <c r="A227" s="4">
        <v>37000</v>
      </c>
      <c r="B227" s="198" t="s">
        <v>368</v>
      </c>
      <c r="C227" s="183">
        <v>38650452</v>
      </c>
      <c r="D227" s="183">
        <v>375245</v>
      </c>
      <c r="E227" s="183">
        <v>334696</v>
      </c>
      <c r="F227" s="183">
        <v>3094471</v>
      </c>
      <c r="G227" s="183">
        <v>124563</v>
      </c>
      <c r="H227" s="183">
        <v>106950</v>
      </c>
      <c r="I227" s="232"/>
      <c r="J227" s="183">
        <v>17590731</v>
      </c>
      <c r="K227" s="183">
        <v>6146858</v>
      </c>
      <c r="L227" s="183">
        <v>-4310442</v>
      </c>
      <c r="M227" s="183">
        <v>-2290788</v>
      </c>
      <c r="N227" s="184">
        <f t="shared" si="12"/>
        <v>-6601230</v>
      </c>
    </row>
    <row r="228" spans="1:14" x14ac:dyDescent="0.25">
      <c r="A228" s="4">
        <v>37001</v>
      </c>
      <c r="B228" s="198" t="s">
        <v>475</v>
      </c>
      <c r="C228" s="183">
        <v>4436085</v>
      </c>
      <c r="D228" s="183">
        <v>43069</v>
      </c>
      <c r="E228" s="183">
        <v>38415</v>
      </c>
      <c r="F228" s="183">
        <v>355166</v>
      </c>
      <c r="G228" s="183">
        <v>2073264</v>
      </c>
      <c r="H228" s="183">
        <v>12275</v>
      </c>
      <c r="I228" s="232"/>
      <c r="J228" s="183">
        <v>2018967</v>
      </c>
      <c r="K228" s="183">
        <v>0</v>
      </c>
      <c r="L228" s="183">
        <v>-494728</v>
      </c>
      <c r="M228" s="183">
        <v>1089285</v>
      </c>
      <c r="N228" s="184">
        <f t="shared" si="12"/>
        <v>594557</v>
      </c>
    </row>
    <row r="229" spans="1:14" x14ac:dyDescent="0.25">
      <c r="A229" s="4">
        <v>37005</v>
      </c>
      <c r="B229" s="198" t="s">
        <v>95</v>
      </c>
      <c r="C229" s="184">
        <v>11501975</v>
      </c>
      <c r="D229" s="184">
        <v>111669</v>
      </c>
      <c r="E229" s="184">
        <v>99602</v>
      </c>
      <c r="F229" s="184">
        <v>920883</v>
      </c>
      <c r="G229" s="184">
        <v>1555229</v>
      </c>
      <c r="H229" s="184">
        <v>31827</v>
      </c>
      <c r="I229" s="233"/>
      <c r="J229" s="184">
        <v>5234820</v>
      </c>
      <c r="K229" s="184">
        <v>225536</v>
      </c>
      <c r="L229" s="184">
        <v>-1282743</v>
      </c>
      <c r="M229" s="184">
        <v>216210</v>
      </c>
      <c r="N229" s="184">
        <f t="shared" si="12"/>
        <v>-1066533</v>
      </c>
    </row>
    <row r="230" spans="1:14" x14ac:dyDescent="0.25">
      <c r="A230" s="4">
        <v>37100</v>
      </c>
      <c r="B230" s="198" t="s">
        <v>369</v>
      </c>
      <c r="C230" s="183">
        <v>72163128</v>
      </c>
      <c r="D230" s="183">
        <v>700609</v>
      </c>
      <c r="E230" s="183">
        <v>624901</v>
      </c>
      <c r="F230" s="183">
        <v>5777596</v>
      </c>
      <c r="G230" s="183">
        <v>3149509</v>
      </c>
      <c r="H230" s="183">
        <v>199683</v>
      </c>
      <c r="I230" s="233"/>
      <c r="J230" s="183">
        <v>32843139</v>
      </c>
      <c r="K230" s="183">
        <v>914054</v>
      </c>
      <c r="L230" s="183">
        <v>-8047898</v>
      </c>
      <c r="M230" s="183">
        <v>1865293</v>
      </c>
      <c r="N230" s="184">
        <f t="shared" si="12"/>
        <v>-6182605</v>
      </c>
    </row>
    <row r="231" spans="1:14" x14ac:dyDescent="0.25">
      <c r="A231" s="4">
        <v>37200</v>
      </c>
      <c r="B231" s="198" t="s">
        <v>370</v>
      </c>
      <c r="C231" s="183">
        <v>14346599</v>
      </c>
      <c r="D231" s="183">
        <v>139287</v>
      </c>
      <c r="E231" s="183">
        <v>124235</v>
      </c>
      <c r="F231" s="183">
        <v>1148632</v>
      </c>
      <c r="G231" s="183">
        <v>1364044</v>
      </c>
      <c r="H231" s="183">
        <v>39699</v>
      </c>
      <c r="I231" s="232"/>
      <c r="J231" s="183">
        <v>6529475</v>
      </c>
      <c r="K231" s="183">
        <v>1924782</v>
      </c>
      <c r="L231" s="183">
        <v>-1599986</v>
      </c>
      <c r="M231" s="183">
        <v>-89073</v>
      </c>
      <c r="N231" s="184">
        <f t="shared" si="12"/>
        <v>-1689059</v>
      </c>
    </row>
    <row r="232" spans="1:14" x14ac:dyDescent="0.25">
      <c r="A232" s="195">
        <v>37300</v>
      </c>
      <c r="B232" s="197" t="s">
        <v>371</v>
      </c>
      <c r="C232" s="182">
        <v>36877538</v>
      </c>
      <c r="D232" s="182">
        <v>358032</v>
      </c>
      <c r="E232" s="182">
        <v>319344</v>
      </c>
      <c r="F232" s="182">
        <v>2952526</v>
      </c>
      <c r="G232" s="182">
        <v>1600680</v>
      </c>
      <c r="H232" s="182">
        <v>102044</v>
      </c>
      <c r="I232" s="234"/>
      <c r="J232" s="182">
        <v>16783836</v>
      </c>
      <c r="K232" s="182">
        <v>4983949</v>
      </c>
      <c r="L232" s="182">
        <v>-4112719</v>
      </c>
      <c r="M232" s="182">
        <v>-605710</v>
      </c>
      <c r="N232" s="182">
        <f t="shared" si="12"/>
        <v>-4718429</v>
      </c>
    </row>
    <row r="233" spans="1:14" x14ac:dyDescent="0.25">
      <c r="A233" s="195">
        <v>37301</v>
      </c>
      <c r="B233" s="197" t="s">
        <v>372</v>
      </c>
      <c r="C233" s="199">
        <v>4222943</v>
      </c>
      <c r="D233" s="199">
        <v>40999</v>
      </c>
      <c r="E233" s="199">
        <v>36569</v>
      </c>
      <c r="F233" s="199">
        <v>338101</v>
      </c>
      <c r="G233" s="199">
        <v>19196</v>
      </c>
      <c r="H233" s="199">
        <v>11685</v>
      </c>
      <c r="I233" s="231"/>
      <c r="J233" s="199">
        <v>1921961</v>
      </c>
      <c r="K233" s="199">
        <v>439224</v>
      </c>
      <c r="L233" s="199">
        <v>-470959</v>
      </c>
      <c r="M233" s="199">
        <v>-15127</v>
      </c>
      <c r="N233" s="182">
        <f t="shared" si="12"/>
        <v>-486086</v>
      </c>
    </row>
    <row r="234" spans="1:14" x14ac:dyDescent="0.25">
      <c r="A234" s="195">
        <v>37305</v>
      </c>
      <c r="B234" s="197" t="s">
        <v>96</v>
      </c>
      <c r="C234" s="199">
        <v>8695712</v>
      </c>
      <c r="D234" s="199">
        <v>84424</v>
      </c>
      <c r="E234" s="199">
        <v>75301</v>
      </c>
      <c r="F234" s="199">
        <v>696205</v>
      </c>
      <c r="G234" s="199">
        <v>229148</v>
      </c>
      <c r="H234" s="199">
        <v>24062</v>
      </c>
      <c r="I234" s="231"/>
      <c r="J234" s="199">
        <v>3957623</v>
      </c>
      <c r="K234" s="199">
        <v>900098</v>
      </c>
      <c r="L234" s="199">
        <v>-969778</v>
      </c>
      <c r="M234" s="199">
        <v>-728643</v>
      </c>
      <c r="N234" s="182">
        <f t="shared" si="12"/>
        <v>-1698421</v>
      </c>
    </row>
    <row r="235" spans="1:14" x14ac:dyDescent="0.25">
      <c r="A235" s="195">
        <v>37400</v>
      </c>
      <c r="B235" s="197" t="s">
        <v>373</v>
      </c>
      <c r="C235" s="199">
        <v>196154431</v>
      </c>
      <c r="D235" s="199">
        <v>1904400</v>
      </c>
      <c r="E235" s="199">
        <v>1698612</v>
      </c>
      <c r="F235" s="199">
        <v>15704711</v>
      </c>
      <c r="G235" s="199">
        <v>12229012</v>
      </c>
      <c r="H235" s="199">
        <v>542780</v>
      </c>
      <c r="I235" s="231"/>
      <c r="J235" s="199">
        <v>89274500</v>
      </c>
      <c r="K235" s="199">
        <v>9376946</v>
      </c>
      <c r="L235" s="199">
        <v>-21875863</v>
      </c>
      <c r="M235" s="199">
        <v>786896</v>
      </c>
      <c r="N235" s="182">
        <f t="shared" si="12"/>
        <v>-21088967</v>
      </c>
    </row>
    <row r="236" spans="1:14" x14ac:dyDescent="0.25">
      <c r="A236" s="195">
        <v>37405</v>
      </c>
      <c r="B236" s="197" t="s">
        <v>97</v>
      </c>
      <c r="C236" s="199">
        <v>36830465</v>
      </c>
      <c r="D236" s="199">
        <v>357575</v>
      </c>
      <c r="E236" s="199">
        <v>318936</v>
      </c>
      <c r="F236" s="199">
        <v>2948757</v>
      </c>
      <c r="G236" s="199">
        <v>778208</v>
      </c>
      <c r="H236" s="199">
        <v>101914</v>
      </c>
      <c r="I236" s="231"/>
      <c r="J236" s="199">
        <v>16762412</v>
      </c>
      <c r="K236" s="199">
        <v>4390670</v>
      </c>
      <c r="L236" s="199">
        <v>-4107468</v>
      </c>
      <c r="M236" s="199">
        <v>-1676168</v>
      </c>
      <c r="N236" s="182">
        <f t="shared" si="12"/>
        <v>-5783636</v>
      </c>
    </row>
    <row r="237" spans="1:14" x14ac:dyDescent="0.25">
      <c r="A237" s="195">
        <v>37500</v>
      </c>
      <c r="B237" s="197" t="s">
        <v>374</v>
      </c>
      <c r="C237" s="199">
        <v>19691547</v>
      </c>
      <c r="D237" s="199">
        <v>191179</v>
      </c>
      <c r="E237" s="199">
        <v>170520</v>
      </c>
      <c r="F237" s="199">
        <v>1576564</v>
      </c>
      <c r="G237" s="199">
        <v>525912</v>
      </c>
      <c r="H237" s="199">
        <v>54489</v>
      </c>
      <c r="I237" s="231"/>
      <c r="J237" s="199">
        <v>8962087</v>
      </c>
      <c r="K237" s="199">
        <v>1727089</v>
      </c>
      <c r="L237" s="199">
        <v>-2196073</v>
      </c>
      <c r="M237" s="199">
        <v>-529394</v>
      </c>
      <c r="N237" s="182">
        <f t="shared" si="12"/>
        <v>-2725467</v>
      </c>
    </row>
    <row r="238" spans="1:14" x14ac:dyDescent="0.25">
      <c r="A238" s="195">
        <v>37600</v>
      </c>
      <c r="B238" s="197" t="s">
        <v>375</v>
      </c>
      <c r="C238" s="182">
        <v>117268309</v>
      </c>
      <c r="D238" s="182">
        <v>1138520</v>
      </c>
      <c r="E238" s="182">
        <v>1015493</v>
      </c>
      <c r="F238" s="182">
        <v>9388852</v>
      </c>
      <c r="G238" s="182">
        <v>4285124</v>
      </c>
      <c r="H238" s="182">
        <v>324493</v>
      </c>
      <c r="I238" s="234"/>
      <c r="J238" s="182">
        <v>53371569</v>
      </c>
      <c r="K238" s="182">
        <v>17055881</v>
      </c>
      <c r="L238" s="182">
        <v>-13078195</v>
      </c>
      <c r="M238" s="182">
        <v>-4594818</v>
      </c>
      <c r="N238" s="182">
        <f t="shared" si="12"/>
        <v>-17673013</v>
      </c>
    </row>
    <row r="239" spans="1:14" x14ac:dyDescent="0.25">
      <c r="A239" s="195">
        <v>37601</v>
      </c>
      <c r="B239" s="197" t="s">
        <v>376</v>
      </c>
      <c r="C239" s="199">
        <v>12636735</v>
      </c>
      <c r="D239" s="199">
        <v>122686</v>
      </c>
      <c r="E239" s="199">
        <v>109429</v>
      </c>
      <c r="F239" s="199">
        <v>1011735</v>
      </c>
      <c r="G239" s="199">
        <v>4793602</v>
      </c>
      <c r="H239" s="199">
        <v>34967</v>
      </c>
      <c r="I239" s="231"/>
      <c r="J239" s="199">
        <v>5751276</v>
      </c>
      <c r="K239" s="199">
        <v>0</v>
      </c>
      <c r="L239" s="199">
        <v>-1409295</v>
      </c>
      <c r="M239" s="199">
        <v>2425147</v>
      </c>
      <c r="N239" s="182">
        <f t="shared" si="12"/>
        <v>1015852</v>
      </c>
    </row>
    <row r="240" spans="1:14" x14ac:dyDescent="0.25">
      <c r="A240" s="195">
        <v>37605</v>
      </c>
      <c r="B240" s="197" t="s">
        <v>98</v>
      </c>
      <c r="C240" s="199">
        <v>14605150</v>
      </c>
      <c r="D240" s="199">
        <v>141797</v>
      </c>
      <c r="E240" s="199">
        <v>126474</v>
      </c>
      <c r="F240" s="199">
        <v>1169332</v>
      </c>
      <c r="G240" s="199">
        <v>84154</v>
      </c>
      <c r="H240" s="199">
        <v>40414</v>
      </c>
      <c r="I240" s="231"/>
      <c r="J240" s="199">
        <v>6647148</v>
      </c>
      <c r="K240" s="199">
        <v>1136129</v>
      </c>
      <c r="L240" s="199">
        <v>-1628820</v>
      </c>
      <c r="M240" s="199">
        <v>-385251</v>
      </c>
      <c r="N240" s="182">
        <f t="shared" si="12"/>
        <v>-2014071</v>
      </c>
    </row>
    <row r="241" spans="1:14" x14ac:dyDescent="0.25">
      <c r="A241" s="195">
        <v>37610</v>
      </c>
      <c r="B241" s="197" t="s">
        <v>377</v>
      </c>
      <c r="C241" s="199">
        <v>37213195</v>
      </c>
      <c r="D241" s="199">
        <v>361291</v>
      </c>
      <c r="E241" s="199">
        <v>322250</v>
      </c>
      <c r="F241" s="199">
        <v>2979400</v>
      </c>
      <c r="G241" s="199">
        <v>29116</v>
      </c>
      <c r="H241" s="199">
        <v>102973</v>
      </c>
      <c r="I241" s="231"/>
      <c r="J241" s="199">
        <v>16936601</v>
      </c>
      <c r="K241" s="199">
        <v>4012388</v>
      </c>
      <c r="L241" s="199">
        <v>-4150153</v>
      </c>
      <c r="M241" s="199">
        <v>-1123281</v>
      </c>
      <c r="N241" s="182">
        <f t="shared" si="12"/>
        <v>-5273434</v>
      </c>
    </row>
    <row r="242" spans="1:14" x14ac:dyDescent="0.25">
      <c r="A242" s="195">
        <v>37700</v>
      </c>
      <c r="B242" s="197" t="s">
        <v>378</v>
      </c>
      <c r="C242" s="199">
        <v>51114984</v>
      </c>
      <c r="D242" s="199">
        <v>496259</v>
      </c>
      <c r="E242" s="199">
        <v>442634</v>
      </c>
      <c r="F242" s="199">
        <v>4092419</v>
      </c>
      <c r="G242" s="199">
        <v>2127244</v>
      </c>
      <c r="H242" s="199">
        <v>141440</v>
      </c>
      <c r="I242" s="231"/>
      <c r="J242" s="199">
        <v>23263633</v>
      </c>
      <c r="K242" s="199">
        <v>6202345</v>
      </c>
      <c r="L242" s="199">
        <v>-5700532</v>
      </c>
      <c r="M242" s="199">
        <v>-1540992</v>
      </c>
      <c r="N242" s="182">
        <f t="shared" si="12"/>
        <v>-7241524</v>
      </c>
    </row>
    <row r="243" spans="1:14" x14ac:dyDescent="0.25">
      <c r="A243" s="195">
        <v>37705</v>
      </c>
      <c r="B243" s="197" t="s">
        <v>99</v>
      </c>
      <c r="C243" s="199">
        <v>14496864</v>
      </c>
      <c r="D243" s="199">
        <v>140745</v>
      </c>
      <c r="E243" s="199">
        <v>125537</v>
      </c>
      <c r="F243" s="199">
        <v>1160662</v>
      </c>
      <c r="G243" s="199">
        <v>283374</v>
      </c>
      <c r="H243" s="199">
        <v>40114</v>
      </c>
      <c r="I243" s="231"/>
      <c r="J243" s="199">
        <v>6597864</v>
      </c>
      <c r="K243" s="199">
        <v>2091528</v>
      </c>
      <c r="L243" s="199">
        <v>-1616742</v>
      </c>
      <c r="M243" s="199">
        <v>-513127</v>
      </c>
      <c r="N243" s="182">
        <f t="shared" si="12"/>
        <v>-2129869</v>
      </c>
    </row>
    <row r="244" spans="1:14" x14ac:dyDescent="0.25">
      <c r="A244" s="4">
        <v>37800</v>
      </c>
      <c r="B244" s="198" t="s">
        <v>379</v>
      </c>
      <c r="C244" s="183">
        <v>159848240</v>
      </c>
      <c r="D244" s="183">
        <v>1551915</v>
      </c>
      <c r="E244" s="183">
        <v>1384217</v>
      </c>
      <c r="F244" s="183">
        <v>12797929</v>
      </c>
      <c r="G244" s="183">
        <v>14763772</v>
      </c>
      <c r="H244" s="183">
        <v>442317</v>
      </c>
      <c r="I244" s="232"/>
      <c r="J244" s="183">
        <v>72750698</v>
      </c>
      <c r="K244" s="183">
        <v>24450959</v>
      </c>
      <c r="L244" s="183">
        <v>-17826863</v>
      </c>
      <c r="M244" s="183">
        <v>-2500219</v>
      </c>
      <c r="N244" s="184">
        <f t="shared" si="12"/>
        <v>-20327082</v>
      </c>
    </row>
    <row r="245" spans="1:14" x14ac:dyDescent="0.25">
      <c r="A245" s="4">
        <v>37801</v>
      </c>
      <c r="B245" s="198" t="s">
        <v>380</v>
      </c>
      <c r="C245" s="183">
        <v>1587593</v>
      </c>
      <c r="D245" s="183">
        <v>15413</v>
      </c>
      <c r="E245" s="183">
        <v>13748</v>
      </c>
      <c r="F245" s="183">
        <v>127107</v>
      </c>
      <c r="G245" s="183">
        <v>278461</v>
      </c>
      <c r="H245" s="183">
        <v>4393</v>
      </c>
      <c r="I245" s="232"/>
      <c r="J245" s="183">
        <v>722551</v>
      </c>
      <c r="K245" s="183">
        <v>162990</v>
      </c>
      <c r="L245" s="183">
        <v>-177054</v>
      </c>
      <c r="M245" s="183">
        <v>142172</v>
      </c>
      <c r="N245" s="184">
        <f t="shared" si="12"/>
        <v>-34882</v>
      </c>
    </row>
    <row r="246" spans="1:14" x14ac:dyDescent="0.25">
      <c r="A246" s="4">
        <v>37805</v>
      </c>
      <c r="B246" s="198" t="s">
        <v>100</v>
      </c>
      <c r="C246" s="183">
        <v>12631406</v>
      </c>
      <c r="D246" s="183">
        <v>122634</v>
      </c>
      <c r="E246" s="183">
        <v>109383</v>
      </c>
      <c r="F246" s="183">
        <v>1011308</v>
      </c>
      <c r="G246" s="183">
        <v>1363051</v>
      </c>
      <c r="H246" s="183">
        <v>34952</v>
      </c>
      <c r="I246" s="232"/>
      <c r="J246" s="183">
        <v>5748850</v>
      </c>
      <c r="K246" s="183">
        <v>802434</v>
      </c>
      <c r="L246" s="183">
        <v>-1408699</v>
      </c>
      <c r="M246" s="183">
        <v>-364194</v>
      </c>
      <c r="N246" s="184">
        <f t="shared" si="12"/>
        <v>-1772893</v>
      </c>
    </row>
    <row r="247" spans="1:14" x14ac:dyDescent="0.25">
      <c r="A247" s="4">
        <v>37900</v>
      </c>
      <c r="B247" s="198" t="s">
        <v>381</v>
      </c>
      <c r="C247" s="184">
        <v>85869457</v>
      </c>
      <c r="D247" s="184">
        <v>833679</v>
      </c>
      <c r="E247" s="184">
        <v>743592</v>
      </c>
      <c r="F247" s="184">
        <v>6874966</v>
      </c>
      <c r="G247" s="184">
        <v>3640486</v>
      </c>
      <c r="H247" s="184">
        <v>237610</v>
      </c>
      <c r="I247" s="233"/>
      <c r="J247" s="184">
        <v>39081212</v>
      </c>
      <c r="K247" s="184">
        <v>5362165</v>
      </c>
      <c r="L247" s="184">
        <v>-9576478</v>
      </c>
      <c r="M247" s="184">
        <v>-2111694</v>
      </c>
      <c r="N247" s="184">
        <f t="shared" si="12"/>
        <v>-11688172</v>
      </c>
    </row>
    <row r="248" spans="1:14" x14ac:dyDescent="0.25">
      <c r="A248" s="4">
        <v>37901</v>
      </c>
      <c r="B248" s="198" t="s">
        <v>382</v>
      </c>
      <c r="C248" s="183">
        <v>2809568</v>
      </c>
      <c r="D248" s="183">
        <v>27277</v>
      </c>
      <c r="E248" s="183">
        <v>24330</v>
      </c>
      <c r="F248" s="183">
        <v>224942</v>
      </c>
      <c r="G248" s="183">
        <v>1164132</v>
      </c>
      <c r="H248" s="183">
        <v>7774</v>
      </c>
      <c r="I248" s="233"/>
      <c r="J248" s="183">
        <v>1278701</v>
      </c>
      <c r="K248" s="183">
        <v>0</v>
      </c>
      <c r="L248" s="183">
        <v>-313333</v>
      </c>
      <c r="M248" s="183">
        <v>428119</v>
      </c>
      <c r="N248" s="184">
        <f t="shared" si="12"/>
        <v>114786</v>
      </c>
    </row>
    <row r="249" spans="1:14" x14ac:dyDescent="0.25">
      <c r="A249" s="4">
        <v>37905</v>
      </c>
      <c r="B249" s="198" t="s">
        <v>101</v>
      </c>
      <c r="C249" s="183">
        <v>9476583</v>
      </c>
      <c r="D249" s="183">
        <v>92005</v>
      </c>
      <c r="E249" s="183">
        <v>82063</v>
      </c>
      <c r="F249" s="183">
        <v>758724</v>
      </c>
      <c r="G249" s="183">
        <v>279056</v>
      </c>
      <c r="H249" s="183">
        <v>26223</v>
      </c>
      <c r="I249" s="232"/>
      <c r="J249" s="183">
        <v>4313016</v>
      </c>
      <c r="K249" s="183">
        <v>495539</v>
      </c>
      <c r="L249" s="183">
        <v>-1056863</v>
      </c>
      <c r="M249" s="183">
        <v>-265518</v>
      </c>
      <c r="N249" s="184">
        <f t="shared" si="12"/>
        <v>-1322381</v>
      </c>
    </row>
    <row r="250" spans="1:14" x14ac:dyDescent="0.25">
      <c r="A250" s="195">
        <v>38000</v>
      </c>
      <c r="B250" s="197" t="s">
        <v>383</v>
      </c>
      <c r="C250" s="182">
        <v>143113675</v>
      </c>
      <c r="D250" s="182">
        <v>1389445</v>
      </c>
      <c r="E250" s="182">
        <v>1239302</v>
      </c>
      <c r="F250" s="182">
        <v>11458109</v>
      </c>
      <c r="G250" s="182">
        <v>2595272</v>
      </c>
      <c r="H250" s="182">
        <v>396010</v>
      </c>
      <c r="I250" s="234"/>
      <c r="J250" s="182">
        <v>65134403</v>
      </c>
      <c r="K250" s="182">
        <v>12377312</v>
      </c>
      <c r="L250" s="182">
        <v>-15960563</v>
      </c>
      <c r="M250" s="182">
        <v>-1711704</v>
      </c>
      <c r="N250" s="182">
        <f t="shared" si="12"/>
        <v>-17672267</v>
      </c>
    </row>
    <row r="251" spans="1:14" x14ac:dyDescent="0.25">
      <c r="A251" s="195">
        <v>38005</v>
      </c>
      <c r="B251" s="197" t="s">
        <v>102</v>
      </c>
      <c r="C251" s="199">
        <v>30187238</v>
      </c>
      <c r="D251" s="199">
        <v>293078</v>
      </c>
      <c r="E251" s="199">
        <v>261408</v>
      </c>
      <c r="F251" s="199">
        <v>2416881</v>
      </c>
      <c r="G251" s="199">
        <v>2897909</v>
      </c>
      <c r="H251" s="199">
        <v>83531</v>
      </c>
      <c r="I251" s="231"/>
      <c r="J251" s="199">
        <v>13738923</v>
      </c>
      <c r="K251" s="199">
        <v>45012</v>
      </c>
      <c r="L251" s="199">
        <v>-3366593</v>
      </c>
      <c r="M251" s="199">
        <v>-413010</v>
      </c>
      <c r="N251" s="182">
        <f t="shared" si="12"/>
        <v>-3779603</v>
      </c>
    </row>
    <row r="252" spans="1:14" x14ac:dyDescent="0.25">
      <c r="A252" s="195">
        <v>38100</v>
      </c>
      <c r="B252" s="197" t="s">
        <v>384</v>
      </c>
      <c r="C252" s="199">
        <v>62771571</v>
      </c>
      <c r="D252" s="199">
        <v>609429</v>
      </c>
      <c r="E252" s="199">
        <v>543575</v>
      </c>
      <c r="F252" s="199">
        <v>5025680</v>
      </c>
      <c r="G252" s="199">
        <v>2887520</v>
      </c>
      <c r="H252" s="199">
        <v>173695</v>
      </c>
      <c r="I252" s="231"/>
      <c r="J252" s="199">
        <v>28568820</v>
      </c>
      <c r="K252" s="199">
        <v>7509661</v>
      </c>
      <c r="L252" s="199">
        <v>-7000518</v>
      </c>
      <c r="M252" s="199">
        <v>-1213411</v>
      </c>
      <c r="N252" s="182">
        <f t="shared" si="12"/>
        <v>-8213929</v>
      </c>
    </row>
    <row r="253" spans="1:14" x14ac:dyDescent="0.25">
      <c r="A253" s="195">
        <v>38105</v>
      </c>
      <c r="B253" s="197" t="s">
        <v>103</v>
      </c>
      <c r="C253" s="199">
        <v>12068285</v>
      </c>
      <c r="D253" s="199">
        <v>117167</v>
      </c>
      <c r="E253" s="199">
        <v>104506</v>
      </c>
      <c r="F253" s="199">
        <v>966223</v>
      </c>
      <c r="G253" s="199">
        <v>263296</v>
      </c>
      <c r="H253" s="199">
        <v>33394</v>
      </c>
      <c r="I253" s="231"/>
      <c r="J253" s="199">
        <v>5492561</v>
      </c>
      <c r="K253" s="199">
        <v>898645</v>
      </c>
      <c r="L253" s="199">
        <v>-1345898</v>
      </c>
      <c r="M253" s="199">
        <v>-609127</v>
      </c>
      <c r="N253" s="182">
        <f t="shared" si="12"/>
        <v>-1955025</v>
      </c>
    </row>
    <row r="254" spans="1:14" x14ac:dyDescent="0.25">
      <c r="A254" s="195">
        <v>38200</v>
      </c>
      <c r="B254" s="197" t="s">
        <v>385</v>
      </c>
      <c r="C254" s="199">
        <v>61348396</v>
      </c>
      <c r="D254" s="199">
        <v>595612</v>
      </c>
      <c r="E254" s="199">
        <v>531251</v>
      </c>
      <c r="F254" s="199">
        <v>4911736</v>
      </c>
      <c r="G254" s="199">
        <v>6075716</v>
      </c>
      <c r="H254" s="199">
        <v>169757</v>
      </c>
      <c r="I254" s="231"/>
      <c r="J254" s="199">
        <v>27921099</v>
      </c>
      <c r="K254" s="199">
        <v>7482187</v>
      </c>
      <c r="L254" s="199">
        <v>-6841799</v>
      </c>
      <c r="M254" s="199">
        <v>-1415139</v>
      </c>
      <c r="N254" s="182">
        <f t="shared" si="12"/>
        <v>-8256938</v>
      </c>
    </row>
    <row r="255" spans="1:14" x14ac:dyDescent="0.25">
      <c r="A255" s="195">
        <v>38205</v>
      </c>
      <c r="B255" s="197" t="s">
        <v>104</v>
      </c>
      <c r="C255" s="199">
        <v>8807270</v>
      </c>
      <c r="D255" s="199">
        <v>85507</v>
      </c>
      <c r="E255" s="199">
        <v>76267</v>
      </c>
      <c r="F255" s="199">
        <v>705136</v>
      </c>
      <c r="G255" s="199">
        <v>314986</v>
      </c>
      <c r="H255" s="199">
        <v>24371</v>
      </c>
      <c r="I255" s="231"/>
      <c r="J255" s="199">
        <v>4008396</v>
      </c>
      <c r="K255" s="199">
        <v>428312</v>
      </c>
      <c r="L255" s="199">
        <v>-982219</v>
      </c>
      <c r="M255" s="199">
        <v>-59393</v>
      </c>
      <c r="N255" s="182">
        <f t="shared" si="12"/>
        <v>-1041612</v>
      </c>
    </row>
    <row r="256" spans="1:14" x14ac:dyDescent="0.25">
      <c r="A256" s="4">
        <v>38210</v>
      </c>
      <c r="B256" s="198" t="s">
        <v>386</v>
      </c>
      <c r="C256" s="183">
        <v>23984819</v>
      </c>
      <c r="D256" s="183">
        <v>232861</v>
      </c>
      <c r="E256" s="183">
        <v>207698</v>
      </c>
      <c r="F256" s="183">
        <v>1920296</v>
      </c>
      <c r="G256" s="183">
        <v>2406240</v>
      </c>
      <c r="H256" s="183">
        <v>66368</v>
      </c>
      <c r="I256" s="232"/>
      <c r="J256" s="183">
        <v>10916056</v>
      </c>
      <c r="K256" s="183">
        <v>2528937</v>
      </c>
      <c r="L256" s="183">
        <v>-2674876</v>
      </c>
      <c r="M256" s="183">
        <v>-51042</v>
      </c>
      <c r="N256" s="184">
        <f t="shared" si="12"/>
        <v>-2725918</v>
      </c>
    </row>
    <row r="257" spans="1:14" x14ac:dyDescent="0.25">
      <c r="A257" s="4">
        <v>38300</v>
      </c>
      <c r="B257" s="198" t="s">
        <v>387</v>
      </c>
      <c r="C257" s="183">
        <v>47959930</v>
      </c>
      <c r="D257" s="183">
        <v>465628</v>
      </c>
      <c r="E257" s="183">
        <v>415312</v>
      </c>
      <c r="F257" s="183">
        <v>3839816</v>
      </c>
      <c r="G257" s="183">
        <v>4056500</v>
      </c>
      <c r="H257" s="183">
        <v>132710</v>
      </c>
      <c r="I257" s="232"/>
      <c r="J257" s="183">
        <v>21827694</v>
      </c>
      <c r="K257" s="183">
        <v>5739863</v>
      </c>
      <c r="L257" s="183">
        <v>-5348669</v>
      </c>
      <c r="M257" s="183">
        <v>-1030012</v>
      </c>
      <c r="N257" s="184">
        <f t="shared" ref="N257:N313" si="13">SUM(L257:M257)</f>
        <v>-6378681</v>
      </c>
    </row>
    <row r="258" spans="1:14" x14ac:dyDescent="0.25">
      <c r="A258" s="4">
        <v>38400</v>
      </c>
      <c r="B258" s="198" t="s">
        <v>388</v>
      </c>
      <c r="C258" s="183">
        <v>60382892</v>
      </c>
      <c r="D258" s="183">
        <v>586238</v>
      </c>
      <c r="E258" s="183">
        <v>522890</v>
      </c>
      <c r="F258" s="183">
        <v>4834435</v>
      </c>
      <c r="G258" s="183">
        <v>4848159</v>
      </c>
      <c r="H258" s="183">
        <v>167086</v>
      </c>
      <c r="I258" s="232"/>
      <c r="J258" s="183">
        <v>27481676</v>
      </c>
      <c r="K258" s="183">
        <v>6899275</v>
      </c>
      <c r="L258" s="183">
        <v>-6734121</v>
      </c>
      <c r="M258" s="183">
        <v>-1002027</v>
      </c>
      <c r="N258" s="184">
        <f t="shared" si="13"/>
        <v>-7736148</v>
      </c>
    </row>
    <row r="259" spans="1:14" x14ac:dyDescent="0.25">
      <c r="A259" s="4">
        <v>38402</v>
      </c>
      <c r="B259" s="198" t="s">
        <v>389</v>
      </c>
      <c r="C259" s="184">
        <v>4452167</v>
      </c>
      <c r="D259" s="184">
        <v>43225</v>
      </c>
      <c r="E259" s="184">
        <v>38554</v>
      </c>
      <c r="F259" s="184">
        <v>356454</v>
      </c>
      <c r="G259" s="184">
        <v>781790</v>
      </c>
      <c r="H259" s="184">
        <v>12320</v>
      </c>
      <c r="I259" s="233"/>
      <c r="J259" s="184">
        <v>2026286</v>
      </c>
      <c r="K259" s="184">
        <v>438807</v>
      </c>
      <c r="L259" s="184">
        <v>-496522</v>
      </c>
      <c r="M259" s="184">
        <v>645699</v>
      </c>
      <c r="N259" s="184">
        <f t="shared" si="13"/>
        <v>149177</v>
      </c>
    </row>
    <row r="260" spans="1:14" x14ac:dyDescent="0.25">
      <c r="A260" s="4">
        <v>38405</v>
      </c>
      <c r="B260" s="198" t="s">
        <v>105</v>
      </c>
      <c r="C260" s="183">
        <v>14356316</v>
      </c>
      <c r="D260" s="183">
        <v>139381</v>
      </c>
      <c r="E260" s="183">
        <v>124319</v>
      </c>
      <c r="F260" s="183">
        <v>1149410</v>
      </c>
      <c r="G260" s="183">
        <v>424505</v>
      </c>
      <c r="H260" s="183">
        <v>39725</v>
      </c>
      <c r="I260" s="233"/>
      <c r="J260" s="183">
        <v>6533897</v>
      </c>
      <c r="K260" s="183">
        <v>1862726</v>
      </c>
      <c r="L260" s="183">
        <v>-1601070</v>
      </c>
      <c r="M260" s="183">
        <v>-577235</v>
      </c>
      <c r="N260" s="184">
        <f t="shared" si="13"/>
        <v>-2178305</v>
      </c>
    </row>
    <row r="261" spans="1:14" x14ac:dyDescent="0.25">
      <c r="A261" s="4">
        <v>38500</v>
      </c>
      <c r="B261" s="198" t="s">
        <v>390</v>
      </c>
      <c r="C261" s="183">
        <v>47422565</v>
      </c>
      <c r="D261" s="183">
        <v>460410</v>
      </c>
      <c r="E261" s="183">
        <v>410659</v>
      </c>
      <c r="F261" s="183">
        <v>3796792</v>
      </c>
      <c r="G261" s="183">
        <v>4534136</v>
      </c>
      <c r="H261" s="183">
        <v>131223</v>
      </c>
      <c r="I261" s="232"/>
      <c r="J261" s="183">
        <v>21583126</v>
      </c>
      <c r="K261" s="183">
        <v>4676805</v>
      </c>
      <c r="L261" s="183">
        <v>-5288740</v>
      </c>
      <c r="M261" s="183">
        <v>-1088908</v>
      </c>
      <c r="N261" s="184">
        <f t="shared" si="13"/>
        <v>-6377648</v>
      </c>
    </row>
    <row r="262" spans="1:14" x14ac:dyDescent="0.25">
      <c r="A262" s="195">
        <v>38600</v>
      </c>
      <c r="B262" s="197" t="s">
        <v>391</v>
      </c>
      <c r="C262" s="182">
        <v>58301694</v>
      </c>
      <c r="D262" s="182">
        <v>566032</v>
      </c>
      <c r="E262" s="182">
        <v>504867</v>
      </c>
      <c r="F262" s="182">
        <v>4667808</v>
      </c>
      <c r="G262" s="182">
        <v>4645716</v>
      </c>
      <c r="H262" s="182">
        <v>161327</v>
      </c>
      <c r="I262" s="234"/>
      <c r="J262" s="182">
        <v>26534474</v>
      </c>
      <c r="K262" s="182">
        <v>8063964</v>
      </c>
      <c r="L262" s="182">
        <v>-6502021</v>
      </c>
      <c r="M262" s="182">
        <v>-1203143</v>
      </c>
      <c r="N262" s="182">
        <f t="shared" si="13"/>
        <v>-7705164</v>
      </c>
    </row>
    <row r="263" spans="1:14" x14ac:dyDescent="0.25">
      <c r="A263" s="195">
        <v>38601</v>
      </c>
      <c r="B263" s="197" t="s">
        <v>392</v>
      </c>
      <c r="C263" s="199">
        <v>0</v>
      </c>
      <c r="D263" s="199">
        <v>0</v>
      </c>
      <c r="E263" s="199">
        <v>0</v>
      </c>
      <c r="F263" s="199">
        <v>0</v>
      </c>
      <c r="G263" s="199">
        <v>59547</v>
      </c>
      <c r="H263" s="199">
        <v>0</v>
      </c>
      <c r="I263" s="231"/>
      <c r="J263" s="199">
        <v>0</v>
      </c>
      <c r="K263" s="199">
        <v>1083988</v>
      </c>
      <c r="L263" s="199">
        <v>0</v>
      </c>
      <c r="M263" s="199">
        <v>-273007</v>
      </c>
      <c r="N263" s="182">
        <f t="shared" si="13"/>
        <v>-273007</v>
      </c>
    </row>
    <row r="264" spans="1:14" x14ac:dyDescent="0.25">
      <c r="A264" s="195">
        <v>38602</v>
      </c>
      <c r="B264" s="197" t="s">
        <v>393</v>
      </c>
      <c r="C264" s="199">
        <v>5169345</v>
      </c>
      <c r="D264" s="199">
        <v>50188</v>
      </c>
      <c r="E264" s="199">
        <v>44764</v>
      </c>
      <c r="F264" s="199">
        <v>413873</v>
      </c>
      <c r="G264" s="199">
        <v>335550</v>
      </c>
      <c r="H264" s="199">
        <v>14304</v>
      </c>
      <c r="I264" s="231"/>
      <c r="J264" s="199">
        <v>2352691</v>
      </c>
      <c r="K264" s="199">
        <v>366316</v>
      </c>
      <c r="L264" s="199">
        <v>-576506</v>
      </c>
      <c r="M264" s="199">
        <v>356562</v>
      </c>
      <c r="N264" s="182">
        <f t="shared" si="13"/>
        <v>-219944</v>
      </c>
    </row>
    <row r="265" spans="1:14" x14ac:dyDescent="0.25">
      <c r="A265" s="195">
        <v>38605</v>
      </c>
      <c r="B265" s="197" t="s">
        <v>106</v>
      </c>
      <c r="C265" s="199">
        <v>15021043</v>
      </c>
      <c r="D265" s="199">
        <v>145834</v>
      </c>
      <c r="E265" s="199">
        <v>130076</v>
      </c>
      <c r="F265" s="199">
        <v>1202630</v>
      </c>
      <c r="G265" s="199">
        <v>967316</v>
      </c>
      <c r="H265" s="199">
        <v>41565</v>
      </c>
      <c r="I265" s="231"/>
      <c r="J265" s="199">
        <v>6836430</v>
      </c>
      <c r="K265" s="199">
        <v>1825575</v>
      </c>
      <c r="L265" s="199">
        <v>-1675202</v>
      </c>
      <c r="M265" s="199">
        <v>-788308</v>
      </c>
      <c r="N265" s="182">
        <f t="shared" si="13"/>
        <v>-2463510</v>
      </c>
    </row>
    <row r="266" spans="1:14" x14ac:dyDescent="0.25">
      <c r="A266" s="195">
        <v>38610</v>
      </c>
      <c r="B266" s="197" t="s">
        <v>394</v>
      </c>
      <c r="C266" s="199">
        <v>13988100</v>
      </c>
      <c r="D266" s="199">
        <v>135806</v>
      </c>
      <c r="E266" s="199">
        <v>121131</v>
      </c>
      <c r="F266" s="199">
        <v>1119929</v>
      </c>
      <c r="G266" s="199">
        <v>1273299</v>
      </c>
      <c r="H266" s="199">
        <v>38707</v>
      </c>
      <c r="I266" s="231"/>
      <c r="J266" s="199">
        <v>6366314</v>
      </c>
      <c r="K266" s="199">
        <v>284372</v>
      </c>
      <c r="L266" s="199">
        <v>-1560003</v>
      </c>
      <c r="M266" s="199">
        <v>263252</v>
      </c>
      <c r="N266" s="182">
        <f t="shared" si="13"/>
        <v>-1296751</v>
      </c>
    </row>
    <row r="267" spans="1:14" x14ac:dyDescent="0.25">
      <c r="A267" s="195">
        <v>38620</v>
      </c>
      <c r="B267" s="197" t="s">
        <v>395</v>
      </c>
      <c r="C267" s="199">
        <v>10319377</v>
      </c>
      <c r="D267" s="199">
        <v>100188</v>
      </c>
      <c r="E267" s="199">
        <v>89361</v>
      </c>
      <c r="F267" s="199">
        <v>826200</v>
      </c>
      <c r="G267" s="199">
        <v>1249507</v>
      </c>
      <c r="H267" s="199">
        <v>28555</v>
      </c>
      <c r="I267" s="231"/>
      <c r="J267" s="199">
        <v>4696592</v>
      </c>
      <c r="K267" s="199">
        <v>589597</v>
      </c>
      <c r="L267" s="199">
        <v>-1150855</v>
      </c>
      <c r="M267" s="199">
        <v>-136861</v>
      </c>
      <c r="N267" s="182">
        <f t="shared" si="13"/>
        <v>-1287716</v>
      </c>
    </row>
    <row r="268" spans="1:14" x14ac:dyDescent="0.25">
      <c r="A268" s="4">
        <v>38700</v>
      </c>
      <c r="B268" s="198" t="s">
        <v>396</v>
      </c>
      <c r="C268" s="183">
        <v>18263922</v>
      </c>
      <c r="D268" s="183">
        <v>177319</v>
      </c>
      <c r="E268" s="183">
        <v>158158</v>
      </c>
      <c r="F268" s="183">
        <v>1462264</v>
      </c>
      <c r="G268" s="183">
        <v>1152144</v>
      </c>
      <c r="H268" s="183">
        <v>50538</v>
      </c>
      <c r="I268" s="232"/>
      <c r="J268" s="183">
        <v>8312341</v>
      </c>
      <c r="K268" s="183">
        <v>1681642</v>
      </c>
      <c r="L268" s="183">
        <v>-2036859</v>
      </c>
      <c r="M268" s="183">
        <v>-173952</v>
      </c>
      <c r="N268" s="184">
        <f t="shared" si="13"/>
        <v>-2210811</v>
      </c>
    </row>
    <row r="269" spans="1:14" x14ac:dyDescent="0.25">
      <c r="A269" s="4">
        <v>38701</v>
      </c>
      <c r="B269" s="198" t="s">
        <v>476</v>
      </c>
      <c r="C269" s="183">
        <v>1339702</v>
      </c>
      <c r="D269" s="183">
        <v>13007</v>
      </c>
      <c r="E269" s="183">
        <v>11601</v>
      </c>
      <c r="F269" s="183">
        <v>107261</v>
      </c>
      <c r="G269" s="183">
        <v>212327</v>
      </c>
      <c r="H269" s="183">
        <v>3707</v>
      </c>
      <c r="I269" s="232"/>
      <c r="J269" s="183">
        <v>609730</v>
      </c>
      <c r="K269" s="183">
        <v>5396</v>
      </c>
      <c r="L269" s="183">
        <v>-149409</v>
      </c>
      <c r="M269" s="183">
        <v>36415</v>
      </c>
      <c r="N269" s="184">
        <f t="shared" si="13"/>
        <v>-112994</v>
      </c>
    </row>
    <row r="270" spans="1:14" x14ac:dyDescent="0.25">
      <c r="A270" s="4">
        <v>38800</v>
      </c>
      <c r="B270" s="198" t="s">
        <v>397</v>
      </c>
      <c r="C270" s="183">
        <v>32417870</v>
      </c>
      <c r="D270" s="183">
        <v>314735</v>
      </c>
      <c r="E270" s="183">
        <v>280725</v>
      </c>
      <c r="F270" s="183">
        <v>2595472</v>
      </c>
      <c r="G270" s="183">
        <v>3004312</v>
      </c>
      <c r="H270" s="183">
        <v>89704</v>
      </c>
      <c r="I270" s="232"/>
      <c r="J270" s="183">
        <v>14754136</v>
      </c>
      <c r="K270" s="183">
        <v>2304814</v>
      </c>
      <c r="L270" s="183">
        <v>-3615361</v>
      </c>
      <c r="M270" s="183">
        <v>-71239</v>
      </c>
      <c r="N270" s="184">
        <f t="shared" si="13"/>
        <v>-3686600</v>
      </c>
    </row>
    <row r="271" spans="1:14" x14ac:dyDescent="0.25">
      <c r="A271" s="4">
        <v>38801</v>
      </c>
      <c r="B271" s="198" t="s">
        <v>398</v>
      </c>
      <c r="C271" s="184">
        <v>3109997</v>
      </c>
      <c r="D271" s="184">
        <v>30194</v>
      </c>
      <c r="E271" s="184">
        <v>26931</v>
      </c>
      <c r="F271" s="184">
        <v>248996</v>
      </c>
      <c r="G271" s="184">
        <v>604596</v>
      </c>
      <c r="H271" s="184">
        <v>8606</v>
      </c>
      <c r="I271" s="233"/>
      <c r="J271" s="184">
        <v>1415433</v>
      </c>
      <c r="K271" s="184">
        <v>310184</v>
      </c>
      <c r="L271" s="184">
        <v>-346837</v>
      </c>
      <c r="M271" s="184">
        <v>243001</v>
      </c>
      <c r="N271" s="184">
        <f t="shared" si="13"/>
        <v>-103836</v>
      </c>
    </row>
    <row r="272" spans="1:14" x14ac:dyDescent="0.25">
      <c r="A272" s="4">
        <v>38900</v>
      </c>
      <c r="B272" s="198" t="s">
        <v>399</v>
      </c>
      <c r="C272" s="183">
        <v>7013046</v>
      </c>
      <c r="D272" s="183">
        <v>68087</v>
      </c>
      <c r="E272" s="183">
        <v>60730</v>
      </c>
      <c r="F272" s="183">
        <v>561485</v>
      </c>
      <c r="G272" s="183">
        <v>609133</v>
      </c>
      <c r="H272" s="183">
        <v>19406</v>
      </c>
      <c r="I272" s="233"/>
      <c r="J272" s="183">
        <v>3191802</v>
      </c>
      <c r="K272" s="183">
        <v>484281</v>
      </c>
      <c r="L272" s="183">
        <v>-782118</v>
      </c>
      <c r="M272" s="183">
        <v>-72767</v>
      </c>
      <c r="N272" s="184">
        <f t="shared" si="13"/>
        <v>-854885</v>
      </c>
    </row>
    <row r="273" spans="1:14" x14ac:dyDescent="0.25">
      <c r="A273" s="4">
        <v>39000</v>
      </c>
      <c r="B273" s="198" t="s">
        <v>400</v>
      </c>
      <c r="C273" s="183">
        <v>312844184</v>
      </c>
      <c r="D273" s="183">
        <v>3037303</v>
      </c>
      <c r="E273" s="183">
        <v>2709095</v>
      </c>
      <c r="F273" s="183">
        <v>25047242</v>
      </c>
      <c r="G273" s="183">
        <v>11947320</v>
      </c>
      <c r="H273" s="183">
        <v>865672</v>
      </c>
      <c r="I273" s="232"/>
      <c r="J273" s="183">
        <v>142382754</v>
      </c>
      <c r="K273" s="183">
        <v>33312411</v>
      </c>
      <c r="L273" s="183">
        <v>-34889533</v>
      </c>
      <c r="M273" s="183">
        <v>-5529173</v>
      </c>
      <c r="N273" s="184">
        <f t="shared" si="13"/>
        <v>-40418706</v>
      </c>
    </row>
    <row r="274" spans="1:14" x14ac:dyDescent="0.25">
      <c r="A274" s="195">
        <v>39100</v>
      </c>
      <c r="B274" s="197" t="s">
        <v>401</v>
      </c>
      <c r="C274" s="182">
        <v>34189741</v>
      </c>
      <c r="D274" s="182">
        <v>331937</v>
      </c>
      <c r="E274" s="182">
        <v>296068</v>
      </c>
      <c r="F274" s="182">
        <v>2737333</v>
      </c>
      <c r="G274" s="182">
        <v>0</v>
      </c>
      <c r="H274" s="182">
        <v>94607</v>
      </c>
      <c r="I274" s="234"/>
      <c r="J274" s="182">
        <v>15560556</v>
      </c>
      <c r="K274" s="182">
        <v>11125891</v>
      </c>
      <c r="L274" s="182">
        <v>-3812966</v>
      </c>
      <c r="M274" s="182">
        <v>-4743906</v>
      </c>
      <c r="N274" s="182">
        <f t="shared" si="13"/>
        <v>-8556872</v>
      </c>
    </row>
    <row r="275" spans="1:14" x14ac:dyDescent="0.25">
      <c r="A275" s="195">
        <v>39101</v>
      </c>
      <c r="B275" s="197" t="s">
        <v>402</v>
      </c>
      <c r="C275" s="199">
        <v>6046281</v>
      </c>
      <c r="D275" s="199">
        <v>58701</v>
      </c>
      <c r="E275" s="199">
        <v>52358</v>
      </c>
      <c r="F275" s="199">
        <v>484083</v>
      </c>
      <c r="G275" s="199">
        <v>1280553</v>
      </c>
      <c r="H275" s="199">
        <v>16731</v>
      </c>
      <c r="I275" s="231"/>
      <c r="J275" s="199">
        <v>2751805</v>
      </c>
      <c r="K275" s="199">
        <v>0</v>
      </c>
      <c r="L275" s="199">
        <v>-674304</v>
      </c>
      <c r="M275" s="199">
        <v>723569</v>
      </c>
      <c r="N275" s="182">
        <f t="shared" si="13"/>
        <v>49265</v>
      </c>
    </row>
    <row r="276" spans="1:14" x14ac:dyDescent="0.25">
      <c r="A276" s="195">
        <v>39105</v>
      </c>
      <c r="B276" s="197" t="s">
        <v>107</v>
      </c>
      <c r="C276" s="199">
        <v>13617340</v>
      </c>
      <c r="D276" s="199">
        <v>132206</v>
      </c>
      <c r="E276" s="199">
        <v>117920</v>
      </c>
      <c r="F276" s="199">
        <v>1090245</v>
      </c>
      <c r="G276" s="199">
        <v>290692</v>
      </c>
      <c r="H276" s="199">
        <v>37681</v>
      </c>
      <c r="I276" s="231"/>
      <c r="J276" s="199">
        <v>6197572</v>
      </c>
      <c r="K276" s="199">
        <v>4277458</v>
      </c>
      <c r="L276" s="199">
        <v>-1518657</v>
      </c>
      <c r="M276" s="199">
        <v>-2178441</v>
      </c>
      <c r="N276" s="182">
        <f t="shared" si="13"/>
        <v>-3697098</v>
      </c>
    </row>
    <row r="277" spans="1:14" x14ac:dyDescent="0.25">
      <c r="A277" s="195">
        <v>39200</v>
      </c>
      <c r="B277" s="197" t="s">
        <v>477</v>
      </c>
      <c r="C277" s="199">
        <v>1357818450</v>
      </c>
      <c r="D277" s="199">
        <v>13182622</v>
      </c>
      <c r="E277" s="199">
        <v>11758120</v>
      </c>
      <c r="F277" s="199">
        <v>108711009</v>
      </c>
      <c r="G277" s="199">
        <v>1413426</v>
      </c>
      <c r="H277" s="199">
        <v>3757224</v>
      </c>
      <c r="I277" s="231"/>
      <c r="J277" s="199">
        <v>617975148</v>
      </c>
      <c r="K277" s="199">
        <v>70271649</v>
      </c>
      <c r="L277" s="199">
        <v>-151428905</v>
      </c>
      <c r="M277" s="199">
        <v>2337644</v>
      </c>
      <c r="N277" s="182">
        <f t="shared" si="13"/>
        <v>-149091261</v>
      </c>
    </row>
    <row r="278" spans="1:14" x14ac:dyDescent="0.25">
      <c r="A278" s="195">
        <v>39201</v>
      </c>
      <c r="B278" s="197" t="s">
        <v>403</v>
      </c>
      <c r="C278" s="199">
        <v>4884305</v>
      </c>
      <c r="D278" s="199">
        <v>47420</v>
      </c>
      <c r="E278" s="199">
        <v>42296</v>
      </c>
      <c r="F278" s="199">
        <v>391052</v>
      </c>
      <c r="G278" s="199">
        <v>1217488</v>
      </c>
      <c r="H278" s="199">
        <v>13515</v>
      </c>
      <c r="I278" s="231"/>
      <c r="J278" s="199">
        <v>2222962</v>
      </c>
      <c r="K278" s="199">
        <v>376145</v>
      </c>
      <c r="L278" s="199">
        <v>-544716</v>
      </c>
      <c r="M278" s="199">
        <v>152793</v>
      </c>
      <c r="N278" s="182">
        <f t="shared" si="13"/>
        <v>-391923</v>
      </c>
    </row>
    <row r="279" spans="1:14" x14ac:dyDescent="0.25">
      <c r="A279" s="195">
        <v>39204</v>
      </c>
      <c r="B279" s="197" t="s">
        <v>404</v>
      </c>
      <c r="C279" s="199">
        <v>5354849</v>
      </c>
      <c r="D279" s="199">
        <v>51988</v>
      </c>
      <c r="E279" s="199">
        <v>46371</v>
      </c>
      <c r="F279" s="199">
        <v>428725</v>
      </c>
      <c r="G279" s="199">
        <v>1923206</v>
      </c>
      <c r="H279" s="199">
        <v>14817</v>
      </c>
      <c r="I279" s="231"/>
      <c r="J279" s="199">
        <v>2437118</v>
      </c>
      <c r="K279" s="199">
        <v>1822368</v>
      </c>
      <c r="L279" s="199">
        <v>-597194</v>
      </c>
      <c r="M279" s="199">
        <v>784482</v>
      </c>
      <c r="N279" s="182">
        <f t="shared" si="13"/>
        <v>187288</v>
      </c>
    </row>
    <row r="280" spans="1:14" x14ac:dyDescent="0.25">
      <c r="A280" s="4">
        <v>39205</v>
      </c>
      <c r="B280" s="198" t="s">
        <v>108</v>
      </c>
      <c r="C280" s="183">
        <v>115109829</v>
      </c>
      <c r="D280" s="183">
        <v>1117564</v>
      </c>
      <c r="E280" s="183">
        <v>996801</v>
      </c>
      <c r="F280" s="183">
        <v>9216037</v>
      </c>
      <c r="G280" s="183">
        <v>9292363</v>
      </c>
      <c r="H280" s="183">
        <v>318521</v>
      </c>
      <c r="I280" s="232"/>
      <c r="J280" s="183">
        <v>52389194</v>
      </c>
      <c r="K280" s="183">
        <v>3530558</v>
      </c>
      <c r="L280" s="183">
        <v>-12837472</v>
      </c>
      <c r="M280" s="183">
        <v>3347228</v>
      </c>
      <c r="N280" s="184">
        <f t="shared" si="13"/>
        <v>-9490244</v>
      </c>
    </row>
    <row r="281" spans="1:14" x14ac:dyDescent="0.25">
      <c r="A281" s="4">
        <v>39208</v>
      </c>
      <c r="B281" s="198" t="s">
        <v>478</v>
      </c>
      <c r="C281" s="183">
        <v>8417943</v>
      </c>
      <c r="D281" s="183">
        <v>81727</v>
      </c>
      <c r="E281" s="183">
        <v>72896</v>
      </c>
      <c r="F281" s="183">
        <v>673966</v>
      </c>
      <c r="G281" s="183">
        <v>546672</v>
      </c>
      <c r="H281" s="183">
        <v>23293</v>
      </c>
      <c r="I281" s="232"/>
      <c r="J281" s="183">
        <v>3831204</v>
      </c>
      <c r="K281" s="183">
        <v>893900</v>
      </c>
      <c r="L281" s="183">
        <v>-938799</v>
      </c>
      <c r="M281" s="183">
        <v>-110548</v>
      </c>
      <c r="N281" s="184">
        <f t="shared" si="13"/>
        <v>-1049347</v>
      </c>
    </row>
    <row r="282" spans="1:14" x14ac:dyDescent="0.25">
      <c r="A282" s="4">
        <v>39209</v>
      </c>
      <c r="B282" s="198" t="s">
        <v>405</v>
      </c>
      <c r="C282" s="183">
        <v>0</v>
      </c>
      <c r="D282" s="183">
        <v>0</v>
      </c>
      <c r="E282" s="183">
        <v>0</v>
      </c>
      <c r="F282" s="183">
        <v>0</v>
      </c>
      <c r="G282" s="183">
        <v>39176</v>
      </c>
      <c r="H282" s="183">
        <v>0</v>
      </c>
      <c r="I282" s="232"/>
      <c r="J282" s="183">
        <v>0</v>
      </c>
      <c r="K282" s="183">
        <v>5200879</v>
      </c>
      <c r="L282" s="183">
        <v>0</v>
      </c>
      <c r="M282" s="183">
        <v>-1316289</v>
      </c>
      <c r="N282" s="184">
        <f t="shared" si="13"/>
        <v>-1316289</v>
      </c>
    </row>
    <row r="283" spans="1:14" x14ac:dyDescent="0.25">
      <c r="A283" s="4">
        <v>39220</v>
      </c>
      <c r="B283" s="198" t="s">
        <v>430</v>
      </c>
      <c r="C283" s="183">
        <v>1286680</v>
      </c>
      <c r="D283" s="183">
        <v>12492</v>
      </c>
      <c r="E283" s="183">
        <v>11142</v>
      </c>
      <c r="F283" s="183">
        <v>103015</v>
      </c>
      <c r="G283" s="183">
        <v>1141334</v>
      </c>
      <c r="H283" s="183">
        <v>3560</v>
      </c>
      <c r="I283" s="232"/>
      <c r="J283" s="183">
        <v>585599</v>
      </c>
      <c r="K283" s="183">
        <v>284860</v>
      </c>
      <c r="L283" s="183">
        <v>-143494</v>
      </c>
      <c r="M283" s="183">
        <v>389220</v>
      </c>
      <c r="N283" s="184">
        <f t="shared" si="13"/>
        <v>245726</v>
      </c>
    </row>
    <row r="284" spans="1:14" x14ac:dyDescent="0.25">
      <c r="A284" s="4">
        <v>39300</v>
      </c>
      <c r="B284" s="198" t="s">
        <v>406</v>
      </c>
      <c r="C284" s="183">
        <v>13650441</v>
      </c>
      <c r="D284" s="183">
        <v>132528</v>
      </c>
      <c r="E284" s="183">
        <v>118207</v>
      </c>
      <c r="F284" s="183">
        <v>1092895</v>
      </c>
      <c r="G284" s="183">
        <v>639436</v>
      </c>
      <c r="H284" s="183">
        <v>37772</v>
      </c>
      <c r="I284" s="232"/>
      <c r="J284" s="183">
        <v>6212637</v>
      </c>
      <c r="K284" s="183">
        <v>4017627</v>
      </c>
      <c r="L284" s="183">
        <v>-1522347</v>
      </c>
      <c r="M284" s="183">
        <v>-1832964</v>
      </c>
      <c r="N284" s="184">
        <f t="shared" si="13"/>
        <v>-3355311</v>
      </c>
    </row>
    <row r="285" spans="1:14" x14ac:dyDescent="0.25">
      <c r="A285" s="4">
        <v>39301</v>
      </c>
      <c r="B285" s="198" t="s">
        <v>407</v>
      </c>
      <c r="C285" s="183">
        <v>817293</v>
      </c>
      <c r="D285" s="183">
        <v>7935</v>
      </c>
      <c r="E285" s="183">
        <v>7077</v>
      </c>
      <c r="F285" s="183">
        <v>65435</v>
      </c>
      <c r="G285" s="183">
        <v>174995</v>
      </c>
      <c r="H285" s="183">
        <v>2262</v>
      </c>
      <c r="I285" s="232"/>
      <c r="J285" s="183">
        <v>371969</v>
      </c>
      <c r="K285" s="183">
        <v>308478</v>
      </c>
      <c r="L285" s="183">
        <v>-91146</v>
      </c>
      <c r="M285" s="183">
        <v>-104076</v>
      </c>
      <c r="N285" s="184">
        <f t="shared" si="13"/>
        <v>-195222</v>
      </c>
    </row>
    <row r="286" spans="1:14" x14ac:dyDescent="0.25">
      <c r="A286" s="195">
        <v>39400</v>
      </c>
      <c r="B286" s="197" t="s">
        <v>408</v>
      </c>
      <c r="C286" s="199">
        <v>8466923</v>
      </c>
      <c r="D286" s="199">
        <v>82203</v>
      </c>
      <c r="E286" s="199">
        <v>73320</v>
      </c>
      <c r="F286" s="199">
        <v>677887</v>
      </c>
      <c r="G286" s="199">
        <v>0</v>
      </c>
      <c r="H286" s="199">
        <v>23429</v>
      </c>
      <c r="I286" s="231"/>
      <c r="J286" s="199">
        <v>3853496</v>
      </c>
      <c r="K286" s="199">
        <v>3642270</v>
      </c>
      <c r="L286" s="199">
        <v>-944262</v>
      </c>
      <c r="M286" s="199">
        <v>-1412457</v>
      </c>
      <c r="N286" s="182">
        <f t="shared" si="13"/>
        <v>-2356719</v>
      </c>
    </row>
    <row r="287" spans="1:14" x14ac:dyDescent="0.25">
      <c r="A287" s="195">
        <v>39401</v>
      </c>
      <c r="B287" s="197" t="s">
        <v>409</v>
      </c>
      <c r="C287" s="199">
        <v>10450821</v>
      </c>
      <c r="D287" s="199">
        <v>101464</v>
      </c>
      <c r="E287" s="199">
        <v>90500</v>
      </c>
      <c r="F287" s="199">
        <v>836724</v>
      </c>
      <c r="G287" s="199">
        <v>2695337</v>
      </c>
      <c r="H287" s="199">
        <v>28918</v>
      </c>
      <c r="I287" s="231"/>
      <c r="J287" s="199">
        <v>4756415</v>
      </c>
      <c r="K287" s="199">
        <v>931056</v>
      </c>
      <c r="L287" s="199">
        <v>-1165514</v>
      </c>
      <c r="M287" s="199">
        <v>1608125</v>
      </c>
      <c r="N287" s="182">
        <f t="shared" si="13"/>
        <v>442611</v>
      </c>
    </row>
    <row r="288" spans="1:14" x14ac:dyDescent="0.25">
      <c r="A288" s="195">
        <v>39500</v>
      </c>
      <c r="B288" s="197" t="s">
        <v>410</v>
      </c>
      <c r="C288" s="199">
        <v>47671962</v>
      </c>
      <c r="D288" s="199">
        <v>462832</v>
      </c>
      <c r="E288" s="199">
        <v>412819</v>
      </c>
      <c r="F288" s="199">
        <v>3816760</v>
      </c>
      <c r="G288" s="199">
        <v>7941960</v>
      </c>
      <c r="H288" s="199">
        <v>131913</v>
      </c>
      <c r="I288" s="231"/>
      <c r="J288" s="199">
        <v>21696632</v>
      </c>
      <c r="K288" s="199">
        <v>2051775</v>
      </c>
      <c r="L288" s="199">
        <v>-5316552</v>
      </c>
      <c r="M288" s="199">
        <v>1991651</v>
      </c>
      <c r="N288" s="182">
        <f t="shared" si="13"/>
        <v>-3324901</v>
      </c>
    </row>
    <row r="289" spans="1:18" x14ac:dyDescent="0.25">
      <c r="A289" s="195">
        <v>39501</v>
      </c>
      <c r="B289" s="197" t="s">
        <v>479</v>
      </c>
      <c r="C289" s="199">
        <v>1159003</v>
      </c>
      <c r="D289" s="199">
        <v>11252</v>
      </c>
      <c r="E289" s="199">
        <v>10036</v>
      </c>
      <c r="F289" s="199">
        <v>92793</v>
      </c>
      <c r="G289" s="199">
        <v>84121</v>
      </c>
      <c r="H289" s="199">
        <v>3207</v>
      </c>
      <c r="I289" s="231"/>
      <c r="J289" s="199">
        <v>527490</v>
      </c>
      <c r="K289" s="199">
        <v>186636</v>
      </c>
      <c r="L289" s="199">
        <v>-129256</v>
      </c>
      <c r="M289" s="199">
        <v>-61213</v>
      </c>
      <c r="N289" s="182">
        <f t="shared" si="13"/>
        <v>-190469</v>
      </c>
    </row>
    <row r="290" spans="1:18" x14ac:dyDescent="0.25">
      <c r="A290" s="195">
        <v>39600</v>
      </c>
      <c r="B290" s="197" t="s">
        <v>411</v>
      </c>
      <c r="C290" s="199">
        <v>120504271</v>
      </c>
      <c r="D290" s="199">
        <v>1169937</v>
      </c>
      <c r="E290" s="199">
        <v>1043515</v>
      </c>
      <c r="F290" s="199">
        <v>9647933</v>
      </c>
      <c r="G290" s="199">
        <v>240303</v>
      </c>
      <c r="H290" s="199">
        <v>333448</v>
      </c>
      <c r="I290" s="231"/>
      <c r="J290" s="199">
        <v>54844331</v>
      </c>
      <c r="K290" s="199">
        <v>16389781</v>
      </c>
      <c r="L290" s="199">
        <v>-13439079</v>
      </c>
      <c r="M290" s="199">
        <v>-3089387</v>
      </c>
      <c r="N290" s="182">
        <f t="shared" si="13"/>
        <v>-16528466</v>
      </c>
    </row>
    <row r="291" spans="1:18" x14ac:dyDescent="0.25">
      <c r="A291" s="195">
        <v>39605</v>
      </c>
      <c r="B291" s="197" t="s">
        <v>109</v>
      </c>
      <c r="C291" s="199">
        <v>19338037</v>
      </c>
      <c r="D291" s="199">
        <v>187747</v>
      </c>
      <c r="E291" s="199">
        <v>167459</v>
      </c>
      <c r="F291" s="199">
        <v>1548261</v>
      </c>
      <c r="G291" s="199">
        <v>1058755</v>
      </c>
      <c r="H291" s="199">
        <v>53510</v>
      </c>
      <c r="I291" s="231"/>
      <c r="J291" s="199">
        <v>8801196</v>
      </c>
      <c r="K291" s="199">
        <v>988804</v>
      </c>
      <c r="L291" s="199">
        <v>-2156650</v>
      </c>
      <c r="M291" s="199">
        <v>108505</v>
      </c>
      <c r="N291" s="182">
        <f t="shared" si="13"/>
        <v>-2048145</v>
      </c>
    </row>
    <row r="292" spans="1:18" x14ac:dyDescent="0.25">
      <c r="A292" s="4">
        <v>39700</v>
      </c>
      <c r="B292" s="198" t="s">
        <v>412</v>
      </c>
      <c r="C292" s="183">
        <v>71741125</v>
      </c>
      <c r="D292" s="183">
        <v>696511</v>
      </c>
      <c r="E292" s="183">
        <v>621247</v>
      </c>
      <c r="F292" s="183">
        <v>5743809</v>
      </c>
      <c r="G292" s="183">
        <v>1587584</v>
      </c>
      <c r="H292" s="183">
        <v>198515</v>
      </c>
      <c r="I292" s="232"/>
      <c r="J292" s="183">
        <v>32651075</v>
      </c>
      <c r="K292" s="183">
        <v>7120381</v>
      </c>
      <c r="L292" s="183">
        <v>-8000834</v>
      </c>
      <c r="M292" s="183">
        <v>-2593384</v>
      </c>
      <c r="N292" s="184">
        <f t="shared" si="13"/>
        <v>-10594218</v>
      </c>
    </row>
    <row r="293" spans="1:18" x14ac:dyDescent="0.25">
      <c r="A293" s="4">
        <v>39703</v>
      </c>
      <c r="B293" s="198" t="s">
        <v>413</v>
      </c>
      <c r="C293" s="183">
        <v>5086649</v>
      </c>
      <c r="D293" s="183">
        <v>49385</v>
      </c>
      <c r="E293" s="183">
        <v>44048</v>
      </c>
      <c r="F293" s="183">
        <v>407252</v>
      </c>
      <c r="G293" s="183">
        <v>872410</v>
      </c>
      <c r="H293" s="183">
        <v>14075</v>
      </c>
      <c r="I293" s="232"/>
      <c r="J293" s="183">
        <v>2315054</v>
      </c>
      <c r="K293" s="183">
        <v>501678</v>
      </c>
      <c r="L293" s="183">
        <v>-567284</v>
      </c>
      <c r="M293" s="183">
        <v>748462</v>
      </c>
      <c r="N293" s="184">
        <f t="shared" si="13"/>
        <v>181178</v>
      </c>
    </row>
    <row r="294" spans="1:18" x14ac:dyDescent="0.25">
      <c r="A294" s="4">
        <v>39705</v>
      </c>
      <c r="B294" s="198" t="s">
        <v>110</v>
      </c>
      <c r="C294" s="183">
        <v>18305170</v>
      </c>
      <c r="D294" s="183">
        <v>177719</v>
      </c>
      <c r="E294" s="183">
        <v>158515</v>
      </c>
      <c r="F294" s="183">
        <v>1465567</v>
      </c>
      <c r="G294" s="183">
        <v>748303</v>
      </c>
      <c r="H294" s="183">
        <v>50652</v>
      </c>
      <c r="I294" s="232"/>
      <c r="J294" s="183">
        <v>8331114</v>
      </c>
      <c r="K294" s="183">
        <v>216646</v>
      </c>
      <c r="L294" s="183">
        <v>-2041461</v>
      </c>
      <c r="M294" s="183">
        <v>-94724</v>
      </c>
      <c r="N294" s="184">
        <f t="shared" si="13"/>
        <v>-2136185</v>
      </c>
    </row>
    <row r="295" spans="1:18" x14ac:dyDescent="0.25">
      <c r="A295" s="4">
        <v>39800</v>
      </c>
      <c r="B295" s="198" t="s">
        <v>414</v>
      </c>
      <c r="C295" s="183">
        <v>78348050</v>
      </c>
      <c r="D295" s="183">
        <v>760656</v>
      </c>
      <c r="E295" s="183">
        <v>678460</v>
      </c>
      <c r="F295" s="183">
        <v>6272779</v>
      </c>
      <c r="G295" s="183">
        <v>1648032</v>
      </c>
      <c r="H295" s="183">
        <v>216797</v>
      </c>
      <c r="I295" s="232"/>
      <c r="J295" s="183">
        <v>35658042</v>
      </c>
      <c r="K295" s="183">
        <v>9709683</v>
      </c>
      <c r="L295" s="183">
        <v>-8737661</v>
      </c>
      <c r="M295" s="183">
        <v>-2979940</v>
      </c>
      <c r="N295" s="184">
        <f t="shared" si="13"/>
        <v>-11717601</v>
      </c>
    </row>
    <row r="296" spans="1:18" x14ac:dyDescent="0.25">
      <c r="A296" s="4">
        <v>39805</v>
      </c>
      <c r="B296" s="198" t="s">
        <v>111</v>
      </c>
      <c r="C296" s="184">
        <v>9215512</v>
      </c>
      <c r="D296" s="184">
        <v>89470</v>
      </c>
      <c r="E296" s="184">
        <v>79802</v>
      </c>
      <c r="F296" s="184">
        <v>737821</v>
      </c>
      <c r="G296" s="184">
        <v>508298</v>
      </c>
      <c r="H296" s="184">
        <v>25500</v>
      </c>
      <c r="I296" s="233"/>
      <c r="J296" s="184">
        <v>4194197</v>
      </c>
      <c r="K296" s="184">
        <v>927034</v>
      </c>
      <c r="L296" s="184">
        <v>-1027747</v>
      </c>
      <c r="M296" s="184">
        <v>-183296</v>
      </c>
      <c r="N296" s="184">
        <f t="shared" si="13"/>
        <v>-1211043</v>
      </c>
    </row>
    <row r="297" spans="1:18" x14ac:dyDescent="0.25">
      <c r="A297" s="4">
        <v>39900</v>
      </c>
      <c r="B297" s="198" t="s">
        <v>415</v>
      </c>
      <c r="C297" s="183">
        <v>41990603</v>
      </c>
      <c r="D297" s="183">
        <v>407673</v>
      </c>
      <c r="E297" s="183">
        <v>363620</v>
      </c>
      <c r="F297" s="183">
        <v>3361893</v>
      </c>
      <c r="G297" s="183">
        <v>3851704</v>
      </c>
      <c r="H297" s="183">
        <v>116192</v>
      </c>
      <c r="I297" s="233"/>
      <c r="J297" s="183">
        <v>19110912</v>
      </c>
      <c r="K297" s="183">
        <v>4894709</v>
      </c>
      <c r="L297" s="183">
        <v>-4682946</v>
      </c>
      <c r="M297" s="183">
        <v>-449608</v>
      </c>
      <c r="N297" s="184">
        <f t="shared" si="13"/>
        <v>-5132554</v>
      </c>
    </row>
    <row r="298" spans="1:18" x14ac:dyDescent="0.25">
      <c r="A298" s="195">
        <v>40000</v>
      </c>
      <c r="B298" s="197" t="s">
        <v>416</v>
      </c>
      <c r="C298" s="199">
        <v>73638151</v>
      </c>
      <c r="D298" s="199">
        <v>714929</v>
      </c>
      <c r="E298" s="199">
        <v>637675</v>
      </c>
      <c r="F298" s="199">
        <v>5895691</v>
      </c>
      <c r="G298" s="199">
        <v>18841809</v>
      </c>
      <c r="H298" s="199">
        <v>203764</v>
      </c>
      <c r="I298" s="231"/>
      <c r="J298" s="199">
        <v>33514457</v>
      </c>
      <c r="K298" s="199">
        <v>2656507</v>
      </c>
      <c r="L298" s="199">
        <v>-8212398</v>
      </c>
      <c r="M298" s="199">
        <v>2221387</v>
      </c>
      <c r="N298" s="182">
        <f t="shared" si="13"/>
        <v>-5991011</v>
      </c>
    </row>
    <row r="299" spans="1:18" x14ac:dyDescent="0.25">
      <c r="A299" s="195">
        <v>51000</v>
      </c>
      <c r="B299" s="197" t="s">
        <v>480</v>
      </c>
      <c r="C299" s="182">
        <v>596971014</v>
      </c>
      <c r="D299" s="182">
        <v>5795799</v>
      </c>
      <c r="E299" s="182">
        <v>5169511</v>
      </c>
      <c r="F299" s="182">
        <v>47795286</v>
      </c>
      <c r="G299" s="182">
        <v>46053131</v>
      </c>
      <c r="H299" s="182">
        <v>1651880</v>
      </c>
      <c r="I299" s="234"/>
      <c r="J299" s="182">
        <v>271695565</v>
      </c>
      <c r="K299" s="182">
        <v>51500556</v>
      </c>
      <c r="L299" s="182">
        <v>-66576403</v>
      </c>
      <c r="M299" s="182">
        <v>-16492371</v>
      </c>
      <c r="N299" s="182">
        <f t="shared" si="13"/>
        <v>-83068774</v>
      </c>
    </row>
    <row r="300" spans="1:18" x14ac:dyDescent="0.25">
      <c r="A300" s="195">
        <v>51000.2</v>
      </c>
      <c r="B300" s="197" t="s">
        <v>481</v>
      </c>
      <c r="C300" s="199">
        <v>898780</v>
      </c>
      <c r="D300" s="199">
        <v>8726</v>
      </c>
      <c r="E300" s="199">
        <v>7783</v>
      </c>
      <c r="F300" s="199">
        <v>71959</v>
      </c>
      <c r="G300" s="199">
        <v>721141</v>
      </c>
      <c r="H300" s="199">
        <v>2487</v>
      </c>
      <c r="I300" s="231"/>
      <c r="J300" s="199">
        <v>409056</v>
      </c>
      <c r="K300" s="199">
        <v>129861</v>
      </c>
      <c r="L300" s="199">
        <v>-100236</v>
      </c>
      <c r="M300" s="199">
        <v>207479</v>
      </c>
      <c r="N300" s="182">
        <f t="shared" si="13"/>
        <v>107243</v>
      </c>
      <c r="R300" s="208"/>
    </row>
    <row r="301" spans="1:18" x14ac:dyDescent="0.25">
      <c r="A301" s="195">
        <v>51000.3</v>
      </c>
      <c r="B301" s="197" t="s">
        <v>488</v>
      </c>
      <c r="C301" s="199">
        <v>18476737</v>
      </c>
      <c r="D301" s="199">
        <v>179385</v>
      </c>
      <c r="E301" s="199">
        <v>160001</v>
      </c>
      <c r="F301" s="199">
        <v>1479303</v>
      </c>
      <c r="G301" s="199">
        <v>3487425</v>
      </c>
      <c r="H301" s="199">
        <v>51127</v>
      </c>
      <c r="I301" s="231"/>
      <c r="J301" s="199">
        <v>8409198</v>
      </c>
      <c r="K301" s="199">
        <v>0</v>
      </c>
      <c r="L301" s="199">
        <v>-2060593</v>
      </c>
      <c r="M301" s="199">
        <v>1330623</v>
      </c>
      <c r="N301" s="182">
        <f t="shared" si="13"/>
        <v>-729970</v>
      </c>
    </row>
    <row r="302" spans="1:18" x14ac:dyDescent="0.25">
      <c r="A302" s="195">
        <v>60000</v>
      </c>
      <c r="B302" s="197" t="s">
        <v>482</v>
      </c>
      <c r="C302" s="199">
        <v>3061147</v>
      </c>
      <c r="D302" s="199">
        <v>29720</v>
      </c>
      <c r="E302" s="199">
        <v>26508</v>
      </c>
      <c r="F302" s="199">
        <v>245085</v>
      </c>
      <c r="G302" s="199">
        <v>755748</v>
      </c>
      <c r="H302" s="199">
        <v>8471</v>
      </c>
      <c r="I302" s="231"/>
      <c r="J302" s="199">
        <v>1393200</v>
      </c>
      <c r="K302" s="199">
        <v>381866</v>
      </c>
      <c r="L302" s="199">
        <v>-341390</v>
      </c>
      <c r="M302" s="199">
        <v>-30861</v>
      </c>
      <c r="N302" s="182">
        <f t="shared" si="13"/>
        <v>-372251</v>
      </c>
    </row>
    <row r="303" spans="1:18" x14ac:dyDescent="0.25">
      <c r="A303" s="195">
        <v>90901</v>
      </c>
      <c r="B303" s="197" t="s">
        <v>417</v>
      </c>
      <c r="C303" s="199">
        <v>19650252</v>
      </c>
      <c r="D303" s="199">
        <v>190778</v>
      </c>
      <c r="E303" s="199">
        <v>170163</v>
      </c>
      <c r="F303" s="199">
        <v>1573258</v>
      </c>
      <c r="G303" s="199">
        <v>1138984</v>
      </c>
      <c r="H303" s="199">
        <v>54374</v>
      </c>
      <c r="I303" s="231"/>
      <c r="J303" s="199">
        <v>8943292</v>
      </c>
      <c r="K303" s="199">
        <v>737495</v>
      </c>
      <c r="L303" s="199">
        <v>-2191469</v>
      </c>
      <c r="M303" s="199">
        <v>832079</v>
      </c>
      <c r="N303" s="182">
        <f t="shared" si="13"/>
        <v>-1359390</v>
      </c>
    </row>
    <row r="304" spans="1:18" x14ac:dyDescent="0.25">
      <c r="A304" s="4">
        <v>91041</v>
      </c>
      <c r="B304" s="198" t="s">
        <v>418</v>
      </c>
      <c r="C304" s="183">
        <v>4030591</v>
      </c>
      <c r="D304" s="183">
        <v>39132</v>
      </c>
      <c r="E304" s="183">
        <v>34903</v>
      </c>
      <c r="F304" s="183">
        <v>322701</v>
      </c>
      <c r="G304" s="183">
        <v>514023</v>
      </c>
      <c r="H304" s="183">
        <v>11153</v>
      </c>
      <c r="I304" s="232"/>
      <c r="J304" s="183">
        <v>1834417</v>
      </c>
      <c r="K304" s="183">
        <v>229676</v>
      </c>
      <c r="L304" s="183">
        <v>-449505</v>
      </c>
      <c r="M304" s="183">
        <v>278283</v>
      </c>
      <c r="N304" s="184">
        <f t="shared" si="13"/>
        <v>-171222</v>
      </c>
    </row>
    <row r="305" spans="1:14" x14ac:dyDescent="0.25">
      <c r="A305" s="4">
        <v>91111</v>
      </c>
      <c r="B305" s="198" t="s">
        <v>419</v>
      </c>
      <c r="C305" s="183">
        <v>1922939</v>
      </c>
      <c r="D305" s="183">
        <v>18669</v>
      </c>
      <c r="E305" s="183">
        <v>16652</v>
      </c>
      <c r="F305" s="183">
        <v>153956</v>
      </c>
      <c r="G305" s="183">
        <v>424220</v>
      </c>
      <c r="H305" s="183">
        <v>5321</v>
      </c>
      <c r="I305" s="232"/>
      <c r="J305" s="183">
        <v>875175</v>
      </c>
      <c r="K305" s="183">
        <v>375868</v>
      </c>
      <c r="L305" s="183">
        <v>-214454</v>
      </c>
      <c r="M305" s="183">
        <v>72703</v>
      </c>
      <c r="N305" s="184">
        <f t="shared" si="13"/>
        <v>-141751</v>
      </c>
    </row>
    <row r="306" spans="1:14" x14ac:dyDescent="0.25">
      <c r="A306" s="4">
        <v>91151</v>
      </c>
      <c r="B306" s="198" t="s">
        <v>420</v>
      </c>
      <c r="C306" s="183">
        <v>6115011</v>
      </c>
      <c r="D306" s="183">
        <v>59369</v>
      </c>
      <c r="E306" s="183">
        <v>52953</v>
      </c>
      <c r="F306" s="183">
        <v>489586</v>
      </c>
      <c r="G306" s="183">
        <v>884734</v>
      </c>
      <c r="H306" s="183">
        <v>16921</v>
      </c>
      <c r="I306" s="232"/>
      <c r="J306" s="183">
        <v>2783086</v>
      </c>
      <c r="K306" s="183">
        <v>100558</v>
      </c>
      <c r="L306" s="183">
        <v>-681967</v>
      </c>
      <c r="M306" s="183">
        <v>351283</v>
      </c>
      <c r="N306" s="184">
        <f t="shared" si="13"/>
        <v>-330684</v>
      </c>
    </row>
    <row r="307" spans="1:14" x14ac:dyDescent="0.25">
      <c r="A307" s="4">
        <v>98101</v>
      </c>
      <c r="B307" s="198" t="s">
        <v>421</v>
      </c>
      <c r="C307" s="184">
        <v>26255448</v>
      </c>
      <c r="D307" s="184">
        <v>254906</v>
      </c>
      <c r="E307" s="184">
        <v>227361</v>
      </c>
      <c r="F307" s="184">
        <v>2102090</v>
      </c>
      <c r="G307" s="184">
        <v>2709759</v>
      </c>
      <c r="H307" s="184">
        <v>72652</v>
      </c>
      <c r="I307" s="233"/>
      <c r="J307" s="184">
        <v>11949473</v>
      </c>
      <c r="K307" s="184">
        <v>491610</v>
      </c>
      <c r="L307" s="184">
        <v>-2928102</v>
      </c>
      <c r="M307" s="184">
        <v>1225354</v>
      </c>
      <c r="N307" s="184">
        <f t="shared" si="13"/>
        <v>-1702748</v>
      </c>
    </row>
    <row r="308" spans="1:14" ht="14.4" x14ac:dyDescent="0.3">
      <c r="A308" s="196">
        <v>98103</v>
      </c>
      <c r="B308" s="198" t="s">
        <v>483</v>
      </c>
      <c r="C308" s="200">
        <v>4730171</v>
      </c>
      <c r="D308" s="200">
        <v>45924</v>
      </c>
      <c r="E308" s="200">
        <v>40961</v>
      </c>
      <c r="F308" s="202">
        <v>378712</v>
      </c>
      <c r="G308" s="200">
        <v>487499</v>
      </c>
      <c r="H308" s="200">
        <v>13089</v>
      </c>
      <c r="I308" s="200"/>
      <c r="J308" s="200">
        <v>2152812</v>
      </c>
      <c r="K308" s="204">
        <v>181978</v>
      </c>
      <c r="L308" s="200">
        <v>-527526</v>
      </c>
      <c r="M308" s="202">
        <v>100056</v>
      </c>
      <c r="N308" s="184">
        <f t="shared" si="13"/>
        <v>-427470</v>
      </c>
    </row>
    <row r="309" spans="1:14" ht="14.4" x14ac:dyDescent="0.3">
      <c r="A309" s="196">
        <v>98111</v>
      </c>
      <c r="B309" s="198" t="s">
        <v>422</v>
      </c>
      <c r="C309" s="200">
        <v>9282858</v>
      </c>
      <c r="D309" s="200">
        <v>90124</v>
      </c>
      <c r="E309" s="200">
        <v>80386</v>
      </c>
      <c r="F309" s="202">
        <v>743213</v>
      </c>
      <c r="G309" s="200">
        <v>493211</v>
      </c>
      <c r="H309" s="200">
        <v>25687</v>
      </c>
      <c r="I309" s="200"/>
      <c r="J309" s="200">
        <v>4224847</v>
      </c>
      <c r="K309" s="204">
        <v>167131</v>
      </c>
      <c r="L309" s="200">
        <v>-1035259</v>
      </c>
      <c r="M309" s="202">
        <v>243979</v>
      </c>
      <c r="N309" s="184">
        <f t="shared" si="13"/>
        <v>-791280</v>
      </c>
    </row>
    <row r="310" spans="1:14" x14ac:dyDescent="0.25">
      <c r="A310" s="195">
        <v>98131</v>
      </c>
      <c r="B310" s="197" t="s">
        <v>423</v>
      </c>
      <c r="C310" s="199">
        <v>2160094</v>
      </c>
      <c r="D310" s="199">
        <v>20972</v>
      </c>
      <c r="E310" s="199">
        <v>18705</v>
      </c>
      <c r="F310" s="199">
        <v>172944</v>
      </c>
      <c r="G310" s="199">
        <v>606317</v>
      </c>
      <c r="H310" s="199">
        <v>5977</v>
      </c>
      <c r="I310" s="231"/>
      <c r="J310" s="199">
        <v>983110</v>
      </c>
      <c r="K310" s="199">
        <v>459992</v>
      </c>
      <c r="L310" s="199">
        <v>-240901</v>
      </c>
      <c r="M310" s="199">
        <v>-63159</v>
      </c>
      <c r="N310" s="182">
        <f t="shared" si="13"/>
        <v>-304060</v>
      </c>
    </row>
    <row r="311" spans="1:14" x14ac:dyDescent="0.25">
      <c r="A311" s="195">
        <v>99401</v>
      </c>
      <c r="B311" s="197" t="s">
        <v>424</v>
      </c>
      <c r="C311" s="182">
        <v>7668018</v>
      </c>
      <c r="D311" s="182">
        <v>74446</v>
      </c>
      <c r="E311" s="182">
        <v>66402</v>
      </c>
      <c r="F311" s="182">
        <v>613924</v>
      </c>
      <c r="G311" s="182">
        <v>778326</v>
      </c>
      <c r="H311" s="182">
        <v>21218</v>
      </c>
      <c r="I311" s="234"/>
      <c r="J311" s="182">
        <v>3489895</v>
      </c>
      <c r="K311" s="182">
        <v>314920</v>
      </c>
      <c r="L311" s="182">
        <v>-855165</v>
      </c>
      <c r="M311" s="182">
        <v>147255</v>
      </c>
      <c r="N311" s="182">
        <f t="shared" si="13"/>
        <v>-707910</v>
      </c>
    </row>
    <row r="312" spans="1:14" x14ac:dyDescent="0.25">
      <c r="A312" s="195">
        <v>99521</v>
      </c>
      <c r="B312" s="197" t="s">
        <v>425</v>
      </c>
      <c r="C312" s="182">
        <v>5103797</v>
      </c>
      <c r="D312" s="182">
        <v>49551</v>
      </c>
      <c r="E312" s="182">
        <v>44197</v>
      </c>
      <c r="F312" s="182">
        <v>408625</v>
      </c>
      <c r="G312" s="182">
        <v>1060778</v>
      </c>
      <c r="H312" s="182">
        <v>14123</v>
      </c>
      <c r="I312" s="234"/>
      <c r="J312" s="182">
        <v>2322858</v>
      </c>
      <c r="K312" s="182">
        <v>0</v>
      </c>
      <c r="L312" s="182">
        <v>-569194</v>
      </c>
      <c r="M312" s="182">
        <v>526264</v>
      </c>
      <c r="N312" s="182">
        <f t="shared" si="13"/>
        <v>-42930</v>
      </c>
    </row>
    <row r="313" spans="1:14" x14ac:dyDescent="0.25">
      <c r="A313" s="195">
        <v>99831</v>
      </c>
      <c r="B313" s="197" t="s">
        <v>426</v>
      </c>
      <c r="C313" s="201">
        <v>280970</v>
      </c>
      <c r="D313" s="201">
        <v>2728</v>
      </c>
      <c r="E313" s="201">
        <v>2433</v>
      </c>
      <c r="F313" s="201">
        <v>22495</v>
      </c>
      <c r="G313" s="201">
        <v>53468</v>
      </c>
      <c r="H313" s="201">
        <v>777</v>
      </c>
      <c r="I313" s="235"/>
      <c r="J313" s="201">
        <v>127876</v>
      </c>
      <c r="K313" s="201">
        <v>288097</v>
      </c>
      <c r="L313" s="201">
        <v>-31335</v>
      </c>
      <c r="M313" s="201">
        <v>-32760</v>
      </c>
      <c r="N313" s="182">
        <f t="shared" si="13"/>
        <v>-64095</v>
      </c>
    </row>
    <row r="314" spans="1:14" x14ac:dyDescent="0.25">
      <c r="C314" s="207">
        <f>SUM(C4:C313)</f>
        <v>23746851755</v>
      </c>
      <c r="D314" s="207">
        <f t="shared" ref="D314:M314" si="14">SUM(D4:D313)</f>
        <v>230550528</v>
      </c>
      <c r="E314" s="207">
        <f t="shared" si="14"/>
        <v>205637452</v>
      </c>
      <c r="F314" s="207">
        <f t="shared" si="14"/>
        <v>1901244018</v>
      </c>
      <c r="G314" s="207">
        <f t="shared" si="14"/>
        <v>1491837277</v>
      </c>
      <c r="H314" s="207">
        <f t="shared" si="14"/>
        <v>65709990</v>
      </c>
      <c r="I314" s="207">
        <f t="shared" si="14"/>
        <v>0</v>
      </c>
      <c r="J314" s="207">
        <f t="shared" si="14"/>
        <v>10807751393</v>
      </c>
      <c r="K314" s="207">
        <f t="shared" si="14"/>
        <v>1491837384</v>
      </c>
      <c r="L314" s="207">
        <f t="shared" si="14"/>
        <v>-2648336225</v>
      </c>
      <c r="M314" s="207">
        <f t="shared" si="14"/>
        <v>-22</v>
      </c>
      <c r="N314" s="236">
        <f>SUM(N4:N313)</f>
        <v>-2648336247</v>
      </c>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5"/>
  <sheetViews>
    <sheetView workbookViewId="0"/>
  </sheetViews>
  <sheetFormatPr defaultRowHeight="13.2" x14ac:dyDescent="0.25"/>
  <cols>
    <col min="1" max="1" width="15.21875" customWidth="1"/>
    <col min="2" max="2" width="44.88671875" customWidth="1"/>
    <col min="3" max="7" width="19.21875" customWidth="1"/>
    <col min="8" max="8" width="9.21875" customWidth="1"/>
  </cols>
  <sheetData>
    <row r="1" spans="1:8" x14ac:dyDescent="0.25">
      <c r="A1" s="5">
        <v>1</v>
      </c>
      <c r="B1" s="5">
        <v>2</v>
      </c>
      <c r="C1" s="5">
        <v>3</v>
      </c>
      <c r="D1" s="5">
        <v>4</v>
      </c>
      <c r="E1" s="5">
        <v>5</v>
      </c>
      <c r="F1" s="5">
        <v>6</v>
      </c>
      <c r="G1" s="5">
        <v>7</v>
      </c>
    </row>
    <row r="2" spans="1:8" ht="14.4" x14ac:dyDescent="0.3">
      <c r="C2" s="49" t="s">
        <v>427</v>
      </c>
      <c r="D2" s="49" t="s">
        <v>428</v>
      </c>
      <c r="E2" s="49" t="s">
        <v>484</v>
      </c>
      <c r="F2" s="49" t="s">
        <v>506</v>
      </c>
      <c r="G2" s="49" t="s">
        <v>526</v>
      </c>
    </row>
    <row r="3" spans="1:8" ht="43.2" x14ac:dyDescent="0.3">
      <c r="A3" s="49" t="s">
        <v>164</v>
      </c>
      <c r="B3" s="49" t="s">
        <v>165</v>
      </c>
      <c r="C3" s="49" t="s">
        <v>132</v>
      </c>
      <c r="D3" s="49" t="s">
        <v>132</v>
      </c>
      <c r="E3" s="49" t="s">
        <v>132</v>
      </c>
      <c r="F3" s="49" t="s">
        <v>132</v>
      </c>
      <c r="G3" s="49" t="s">
        <v>132</v>
      </c>
    </row>
    <row r="4" spans="1:8" ht="15.6" x14ac:dyDescent="0.3">
      <c r="A4" s="237">
        <v>10200</v>
      </c>
      <c r="B4" s="209" t="s">
        <v>576</v>
      </c>
      <c r="C4" s="239">
        <v>-2297718</v>
      </c>
      <c r="D4" s="240">
        <v>-893324</v>
      </c>
      <c r="E4" s="240">
        <v>-1264978</v>
      </c>
      <c r="F4" s="240">
        <v>-480878</v>
      </c>
      <c r="G4" s="240">
        <v>0</v>
      </c>
      <c r="H4" s="240">
        <v>0</v>
      </c>
    </row>
    <row r="5" spans="1:8" ht="15.6" x14ac:dyDescent="0.3">
      <c r="A5" s="237">
        <v>10400</v>
      </c>
      <c r="B5" s="209" t="s">
        <v>577</v>
      </c>
      <c r="C5" s="239">
        <v>-8282115</v>
      </c>
      <c r="D5" s="240">
        <v>-4512445</v>
      </c>
      <c r="E5" s="240">
        <v>-5432142</v>
      </c>
      <c r="F5" s="240">
        <v>-3127300</v>
      </c>
      <c r="G5" s="240">
        <v>0</v>
      </c>
      <c r="H5" s="240">
        <v>0</v>
      </c>
    </row>
    <row r="6" spans="1:8" ht="15.6" x14ac:dyDescent="0.3">
      <c r="A6" s="237">
        <v>10500</v>
      </c>
      <c r="B6" s="209" t="s">
        <v>578</v>
      </c>
      <c r="C6" s="239">
        <v>-2077104</v>
      </c>
      <c r="D6" s="240">
        <v>-1204369</v>
      </c>
      <c r="E6" s="240">
        <v>-1283340</v>
      </c>
      <c r="F6" s="240">
        <v>-727036</v>
      </c>
      <c r="G6" s="240">
        <v>0</v>
      </c>
      <c r="H6" s="240">
        <v>0</v>
      </c>
    </row>
    <row r="7" spans="1:8" ht="15.6" x14ac:dyDescent="0.3">
      <c r="A7" s="237">
        <v>10700</v>
      </c>
      <c r="B7" s="209" t="s">
        <v>579</v>
      </c>
      <c r="C7" s="239">
        <v>-10324374</v>
      </c>
      <c r="D7" s="240">
        <v>-6252881</v>
      </c>
      <c r="E7" s="240">
        <v>-9391411</v>
      </c>
      <c r="F7" s="240">
        <v>-5148327</v>
      </c>
      <c r="G7" s="240">
        <v>0</v>
      </c>
      <c r="H7" s="240">
        <v>0</v>
      </c>
    </row>
    <row r="8" spans="1:8" ht="15.6" x14ac:dyDescent="0.3">
      <c r="A8" s="237">
        <v>10800</v>
      </c>
      <c r="B8" s="209" t="s">
        <v>580</v>
      </c>
      <c r="C8" s="239">
        <v>-48352686</v>
      </c>
      <c r="D8" s="240">
        <v>-31189269</v>
      </c>
      <c r="E8" s="240">
        <v>-36946785</v>
      </c>
      <c r="F8" s="240">
        <v>-19729306</v>
      </c>
      <c r="G8" s="240">
        <v>0</v>
      </c>
      <c r="H8" s="240">
        <v>0</v>
      </c>
    </row>
    <row r="9" spans="1:8" ht="15.6" x14ac:dyDescent="0.3">
      <c r="A9" s="237">
        <v>10850</v>
      </c>
      <c r="B9" s="209" t="s">
        <v>581</v>
      </c>
      <c r="C9" s="239">
        <v>-284851</v>
      </c>
      <c r="D9" s="240">
        <v>-367505</v>
      </c>
      <c r="E9" s="240">
        <v>-391496</v>
      </c>
      <c r="F9" s="240">
        <v>-258982</v>
      </c>
      <c r="G9" s="240">
        <v>0</v>
      </c>
      <c r="H9" s="240">
        <v>0</v>
      </c>
    </row>
    <row r="10" spans="1:8" ht="15.6" x14ac:dyDescent="0.3">
      <c r="A10" s="237">
        <v>10900</v>
      </c>
      <c r="B10" s="209" t="s">
        <v>582</v>
      </c>
      <c r="C10" s="239">
        <v>-4518335</v>
      </c>
      <c r="D10" s="240">
        <v>-1358503</v>
      </c>
      <c r="E10" s="240">
        <v>-1963814</v>
      </c>
      <c r="F10" s="240">
        <v>-479734</v>
      </c>
      <c r="G10" s="240">
        <v>0</v>
      </c>
      <c r="H10" s="240">
        <v>0</v>
      </c>
    </row>
    <row r="11" spans="1:8" ht="15.6" x14ac:dyDescent="0.3">
      <c r="A11" s="237">
        <v>10910</v>
      </c>
      <c r="B11" s="209" t="s">
        <v>583</v>
      </c>
      <c r="C11" s="239">
        <v>-95094</v>
      </c>
      <c r="D11" s="240">
        <v>247642</v>
      </c>
      <c r="E11" s="240">
        <v>-39938</v>
      </c>
      <c r="F11" s="240">
        <v>154345</v>
      </c>
      <c r="G11" s="240">
        <v>0</v>
      </c>
      <c r="H11" s="240">
        <v>0</v>
      </c>
    </row>
    <row r="12" spans="1:8" ht="15.6" x14ac:dyDescent="0.3">
      <c r="A12" s="237">
        <v>10930</v>
      </c>
      <c r="B12" s="209" t="s">
        <v>584</v>
      </c>
      <c r="C12" s="239">
        <v>3825359</v>
      </c>
      <c r="D12" s="240">
        <v>9761097</v>
      </c>
      <c r="E12" s="240">
        <v>-5222233</v>
      </c>
      <c r="F12" s="240">
        <v>-2799535</v>
      </c>
      <c r="G12" s="240">
        <v>0</v>
      </c>
      <c r="H12" s="240">
        <v>0</v>
      </c>
    </row>
    <row r="13" spans="1:8" ht="15.6" x14ac:dyDescent="0.3">
      <c r="A13" s="237">
        <v>10940</v>
      </c>
      <c r="B13" s="209" t="s">
        <v>585</v>
      </c>
      <c r="C13" s="239">
        <v>-1547270</v>
      </c>
      <c r="D13" s="240">
        <v>-905979</v>
      </c>
      <c r="E13" s="240">
        <v>-853517</v>
      </c>
      <c r="F13" s="240">
        <v>-380603</v>
      </c>
      <c r="G13" s="240">
        <v>0</v>
      </c>
      <c r="H13" s="240">
        <v>0</v>
      </c>
    </row>
    <row r="14" spans="1:8" ht="15.6" x14ac:dyDescent="0.3">
      <c r="A14" s="237">
        <v>10950</v>
      </c>
      <c r="B14" s="209" t="s">
        <v>586</v>
      </c>
      <c r="C14" s="239">
        <v>-1618347</v>
      </c>
      <c r="D14" s="240">
        <v>-735373</v>
      </c>
      <c r="E14" s="240">
        <v>-1419151</v>
      </c>
      <c r="F14" s="240">
        <v>-676544</v>
      </c>
      <c r="G14" s="240">
        <v>0</v>
      </c>
      <c r="H14" s="240">
        <v>0</v>
      </c>
    </row>
    <row r="15" spans="1:8" ht="31.2" x14ac:dyDescent="0.3">
      <c r="A15" s="237">
        <v>11050</v>
      </c>
      <c r="B15" s="209" t="s">
        <v>587</v>
      </c>
      <c r="C15" s="239">
        <v>957714</v>
      </c>
      <c r="D15" s="240">
        <v>-293277</v>
      </c>
      <c r="E15" s="240">
        <v>-344783</v>
      </c>
      <c r="F15" s="240">
        <v>-270678</v>
      </c>
      <c r="G15" s="240">
        <v>0</v>
      </c>
      <c r="H15" s="240">
        <v>0</v>
      </c>
    </row>
    <row r="16" spans="1:8" ht="15.6" x14ac:dyDescent="0.3">
      <c r="A16" s="237">
        <v>11300</v>
      </c>
      <c r="B16" s="209" t="s">
        <v>588</v>
      </c>
      <c r="C16" s="239">
        <v>-11706337</v>
      </c>
      <c r="D16" s="240">
        <v>-6612225</v>
      </c>
      <c r="E16" s="240">
        <v>-8438202</v>
      </c>
      <c r="F16" s="240">
        <v>-4391364</v>
      </c>
      <c r="G16" s="240">
        <v>0</v>
      </c>
      <c r="H16" s="240">
        <v>0</v>
      </c>
    </row>
    <row r="17" spans="1:8" ht="15.6" x14ac:dyDescent="0.3">
      <c r="A17" s="237">
        <v>11310</v>
      </c>
      <c r="B17" s="209" t="s">
        <v>589</v>
      </c>
      <c r="C17" s="239">
        <v>-976505</v>
      </c>
      <c r="D17" s="240">
        <v>-668330</v>
      </c>
      <c r="E17" s="240">
        <v>-869014</v>
      </c>
      <c r="F17" s="240">
        <v>-441720</v>
      </c>
      <c r="G17" s="240">
        <v>0</v>
      </c>
      <c r="H17" s="240">
        <v>0</v>
      </c>
    </row>
    <row r="18" spans="1:8" ht="15.6" x14ac:dyDescent="0.3">
      <c r="A18" s="237">
        <v>11600</v>
      </c>
      <c r="B18" s="209" t="s">
        <v>590</v>
      </c>
      <c r="C18" s="239">
        <v>-4431163</v>
      </c>
      <c r="D18" s="240">
        <v>-1936123</v>
      </c>
      <c r="E18" s="240">
        <v>-3885196</v>
      </c>
      <c r="F18" s="240">
        <v>-2416608</v>
      </c>
      <c r="G18" s="240">
        <v>0</v>
      </c>
      <c r="H18" s="240">
        <v>0</v>
      </c>
    </row>
    <row r="19" spans="1:8" ht="15.6" x14ac:dyDescent="0.3">
      <c r="A19" s="237">
        <v>11900</v>
      </c>
      <c r="B19" s="209" t="s">
        <v>591</v>
      </c>
      <c r="C19" s="239">
        <v>90090</v>
      </c>
      <c r="D19" s="240">
        <v>531644</v>
      </c>
      <c r="E19" s="240">
        <v>178154</v>
      </c>
      <c r="F19" s="240">
        <v>412002</v>
      </c>
      <c r="G19" s="240">
        <v>0</v>
      </c>
      <c r="H19" s="240">
        <v>0</v>
      </c>
    </row>
    <row r="20" spans="1:8" ht="15.6" x14ac:dyDescent="0.3">
      <c r="A20" s="237">
        <v>12100</v>
      </c>
      <c r="B20" s="209" t="s">
        <v>592</v>
      </c>
      <c r="C20" s="239">
        <v>-678876</v>
      </c>
      <c r="D20" s="240">
        <v>-244671</v>
      </c>
      <c r="E20" s="240">
        <v>-344243</v>
      </c>
      <c r="F20" s="240">
        <v>-247793</v>
      </c>
      <c r="G20" s="240">
        <v>0</v>
      </c>
      <c r="H20" s="240">
        <v>0</v>
      </c>
    </row>
    <row r="21" spans="1:8" ht="15.6" x14ac:dyDescent="0.3">
      <c r="A21" s="237">
        <v>12150</v>
      </c>
      <c r="B21" s="209" t="s">
        <v>593</v>
      </c>
      <c r="C21" s="239">
        <v>-219162</v>
      </c>
      <c r="D21" s="240">
        <v>-220683</v>
      </c>
      <c r="E21" s="240">
        <v>-241929</v>
      </c>
      <c r="F21" s="240">
        <v>-196609</v>
      </c>
      <c r="G21" s="240">
        <v>0</v>
      </c>
      <c r="H21" s="240">
        <v>0</v>
      </c>
    </row>
    <row r="22" spans="1:8" ht="15.6" x14ac:dyDescent="0.3">
      <c r="A22" s="237">
        <v>12160</v>
      </c>
      <c r="B22" s="209" t="s">
        <v>594</v>
      </c>
      <c r="C22" s="239">
        <v>-4302589</v>
      </c>
      <c r="D22" s="240">
        <v>-2866373</v>
      </c>
      <c r="E22" s="240">
        <v>-3032945</v>
      </c>
      <c r="F22" s="240">
        <v>-2126316</v>
      </c>
      <c r="G22" s="240">
        <v>0</v>
      </c>
      <c r="H22" s="240">
        <v>0</v>
      </c>
    </row>
    <row r="23" spans="1:8" ht="15.6" x14ac:dyDescent="0.3">
      <c r="A23" s="237">
        <v>12220</v>
      </c>
      <c r="B23" s="209" t="s">
        <v>595</v>
      </c>
      <c r="C23" s="239">
        <v>-117503500</v>
      </c>
      <c r="D23" s="240">
        <v>-74734639</v>
      </c>
      <c r="E23" s="240">
        <v>-88944182</v>
      </c>
      <c r="F23" s="240">
        <v>-50549298</v>
      </c>
      <c r="G23" s="240">
        <v>0</v>
      </c>
      <c r="H23" s="240">
        <v>0</v>
      </c>
    </row>
    <row r="24" spans="1:8" ht="15.6" x14ac:dyDescent="0.3">
      <c r="A24" s="237">
        <v>12510</v>
      </c>
      <c r="B24" s="209" t="s">
        <v>596</v>
      </c>
      <c r="C24" s="239">
        <v>-13652229</v>
      </c>
      <c r="D24" s="240">
        <v>-4758230</v>
      </c>
      <c r="E24" s="240">
        <v>-5469854</v>
      </c>
      <c r="F24" s="240">
        <v>-836863</v>
      </c>
      <c r="G24" s="240">
        <v>0</v>
      </c>
      <c r="H24" s="240">
        <v>0</v>
      </c>
    </row>
    <row r="25" spans="1:8" ht="15.6" x14ac:dyDescent="0.3">
      <c r="A25" s="237">
        <v>12600</v>
      </c>
      <c r="B25" s="209" t="s">
        <v>597</v>
      </c>
      <c r="C25" s="239">
        <v>-1455582</v>
      </c>
      <c r="D25" s="240">
        <v>-3026008</v>
      </c>
      <c r="E25" s="240">
        <v>-3775487</v>
      </c>
      <c r="F25" s="240">
        <v>-2405973</v>
      </c>
      <c r="G25" s="240">
        <v>0</v>
      </c>
      <c r="H25" s="240">
        <v>0</v>
      </c>
    </row>
    <row r="26" spans="1:8" ht="15.6" x14ac:dyDescent="0.3">
      <c r="A26" s="237">
        <v>12700</v>
      </c>
      <c r="B26" s="209" t="s">
        <v>598</v>
      </c>
      <c r="C26" s="239">
        <v>-2652880</v>
      </c>
      <c r="D26" s="240">
        <v>-1978456</v>
      </c>
      <c r="E26" s="240">
        <v>-2255193</v>
      </c>
      <c r="F26" s="240">
        <v>-1142181</v>
      </c>
      <c r="G26" s="240">
        <v>0</v>
      </c>
      <c r="H26" s="240">
        <v>0</v>
      </c>
    </row>
    <row r="27" spans="1:8" ht="15.6" x14ac:dyDescent="0.3">
      <c r="A27" s="237">
        <v>13500</v>
      </c>
      <c r="B27" s="209" t="s">
        <v>599</v>
      </c>
      <c r="C27" s="239">
        <v>-11528543</v>
      </c>
      <c r="D27" s="240">
        <v>-7432062</v>
      </c>
      <c r="E27" s="240">
        <v>-7805775</v>
      </c>
      <c r="F27" s="240">
        <v>-4326550</v>
      </c>
      <c r="G27" s="240">
        <v>0</v>
      </c>
      <c r="H27" s="240">
        <v>0</v>
      </c>
    </row>
    <row r="28" spans="1:8" ht="15.6" x14ac:dyDescent="0.3">
      <c r="A28" s="237">
        <v>13700</v>
      </c>
      <c r="B28" s="209" t="s">
        <v>600</v>
      </c>
      <c r="C28" s="239">
        <v>-1137488</v>
      </c>
      <c r="D28" s="240">
        <v>-749941</v>
      </c>
      <c r="E28" s="240">
        <v>-810364</v>
      </c>
      <c r="F28" s="240">
        <v>-503789</v>
      </c>
      <c r="G28" s="240">
        <v>0</v>
      </c>
      <c r="H28" s="240">
        <v>0</v>
      </c>
    </row>
    <row r="29" spans="1:8" ht="15.6" x14ac:dyDescent="0.3">
      <c r="A29" s="237">
        <v>14300</v>
      </c>
      <c r="B29" s="209" t="s">
        <v>601</v>
      </c>
      <c r="C29" s="239">
        <v>-4608611</v>
      </c>
      <c r="D29" s="240">
        <v>-2898127</v>
      </c>
      <c r="E29" s="240">
        <v>-2887324</v>
      </c>
      <c r="F29" s="240">
        <v>-1333874</v>
      </c>
      <c r="G29" s="240">
        <v>0</v>
      </c>
      <c r="H29" s="240">
        <v>0</v>
      </c>
    </row>
    <row r="30" spans="1:8" ht="31.2" x14ac:dyDescent="0.3">
      <c r="A30" s="238">
        <v>14300.2</v>
      </c>
      <c r="B30" s="209" t="s">
        <v>602</v>
      </c>
      <c r="C30" s="239">
        <v>-485115</v>
      </c>
      <c r="D30" s="240">
        <v>-114677</v>
      </c>
      <c r="E30" s="240">
        <v>-187831</v>
      </c>
      <c r="F30" s="240">
        <v>-381450</v>
      </c>
      <c r="G30" s="240">
        <v>0</v>
      </c>
      <c r="H30" s="240">
        <v>0</v>
      </c>
    </row>
    <row r="31" spans="1:8" ht="15.6" x14ac:dyDescent="0.3">
      <c r="A31" s="237">
        <v>18400</v>
      </c>
      <c r="B31" s="209" t="s">
        <v>603</v>
      </c>
      <c r="C31" s="239">
        <v>-14615469</v>
      </c>
      <c r="D31" s="240">
        <v>-9548071</v>
      </c>
      <c r="E31" s="240">
        <v>-10716422</v>
      </c>
      <c r="F31" s="240">
        <v>-6156185</v>
      </c>
      <c r="G31" s="240">
        <v>0</v>
      </c>
      <c r="H31" s="240">
        <v>0</v>
      </c>
    </row>
    <row r="32" spans="1:8" ht="15.6" x14ac:dyDescent="0.3">
      <c r="A32" s="237">
        <v>18600</v>
      </c>
      <c r="B32" s="209" t="s">
        <v>604</v>
      </c>
      <c r="C32" s="239">
        <v>-42772</v>
      </c>
      <c r="D32" s="240">
        <v>-20968</v>
      </c>
      <c r="E32" s="240">
        <v>-24130</v>
      </c>
      <c r="F32" s="240">
        <v>-1505</v>
      </c>
      <c r="G32" s="240">
        <v>0</v>
      </c>
      <c r="H32" s="240">
        <v>0</v>
      </c>
    </row>
    <row r="33" spans="1:8" ht="15.6" x14ac:dyDescent="0.3">
      <c r="A33" s="237">
        <v>18640</v>
      </c>
      <c r="B33" s="209" t="s">
        <v>605</v>
      </c>
      <c r="C33" s="239">
        <v>8145</v>
      </c>
      <c r="D33" s="240">
        <v>3160</v>
      </c>
      <c r="E33" s="240">
        <v>-885</v>
      </c>
      <c r="F33" s="240">
        <v>1114</v>
      </c>
      <c r="G33" s="240">
        <v>0</v>
      </c>
      <c r="H33" s="240">
        <v>0</v>
      </c>
    </row>
    <row r="34" spans="1:8" ht="15.6" x14ac:dyDescent="0.3">
      <c r="A34" s="237">
        <v>18690</v>
      </c>
      <c r="B34" s="209" t="s">
        <v>606</v>
      </c>
      <c r="C34" s="239">
        <v>0</v>
      </c>
      <c r="D34" s="240">
        <v>0</v>
      </c>
      <c r="E34" s="240">
        <v>0</v>
      </c>
      <c r="F34" s="240">
        <v>0</v>
      </c>
      <c r="G34" s="240">
        <v>0</v>
      </c>
      <c r="H34" s="240">
        <v>0</v>
      </c>
    </row>
    <row r="35" spans="1:8" ht="15.6" x14ac:dyDescent="0.3">
      <c r="A35" s="237">
        <v>18740</v>
      </c>
      <c r="B35" s="209" t="s">
        <v>607</v>
      </c>
      <c r="C35" s="239">
        <v>-40733</v>
      </c>
      <c r="D35" s="240">
        <v>-40067</v>
      </c>
      <c r="E35" s="240">
        <v>-39744</v>
      </c>
      <c r="F35" s="240">
        <v>3679</v>
      </c>
      <c r="G35" s="240">
        <v>0</v>
      </c>
      <c r="H35" s="240">
        <v>0</v>
      </c>
    </row>
    <row r="36" spans="1:8" ht="31.2" x14ac:dyDescent="0.3">
      <c r="A36" s="237">
        <v>18780</v>
      </c>
      <c r="B36" s="209" t="s">
        <v>608</v>
      </c>
      <c r="C36" s="239">
        <v>6328</v>
      </c>
      <c r="D36" s="240">
        <v>-11106</v>
      </c>
      <c r="E36" s="240">
        <v>-22096</v>
      </c>
      <c r="F36" s="240">
        <v>-15452</v>
      </c>
      <c r="G36" s="240">
        <v>0</v>
      </c>
      <c r="H36" s="240">
        <v>0</v>
      </c>
    </row>
    <row r="37" spans="1:8" ht="15.6" x14ac:dyDescent="0.3">
      <c r="A37" s="237">
        <v>19005</v>
      </c>
      <c r="B37" s="209" t="s">
        <v>609</v>
      </c>
      <c r="C37" s="239">
        <v>-1759113</v>
      </c>
      <c r="D37" s="240">
        <v>-1220226</v>
      </c>
      <c r="E37" s="240">
        <v>-1467873</v>
      </c>
      <c r="F37" s="240">
        <v>-642275</v>
      </c>
      <c r="G37" s="240">
        <v>0</v>
      </c>
      <c r="H37" s="240">
        <v>0</v>
      </c>
    </row>
    <row r="38" spans="1:8" ht="15.6" x14ac:dyDescent="0.3">
      <c r="A38" s="237">
        <v>19100</v>
      </c>
      <c r="B38" s="209" t="s">
        <v>610</v>
      </c>
      <c r="C38" s="239">
        <v>-179381608</v>
      </c>
      <c r="D38" s="240">
        <v>-116941210</v>
      </c>
      <c r="E38" s="240">
        <v>-144028397</v>
      </c>
      <c r="F38" s="240">
        <v>-83965305</v>
      </c>
      <c r="G38" s="240">
        <v>0</v>
      </c>
      <c r="H38" s="240">
        <v>0</v>
      </c>
    </row>
    <row r="39" spans="1:8" ht="15.6" x14ac:dyDescent="0.3">
      <c r="A39" s="237">
        <v>20100</v>
      </c>
      <c r="B39" s="209" t="s">
        <v>611</v>
      </c>
      <c r="C39" s="239">
        <v>-25945872</v>
      </c>
      <c r="D39" s="240">
        <v>-18504895</v>
      </c>
      <c r="E39" s="240">
        <v>-23783410</v>
      </c>
      <c r="F39" s="240">
        <v>-14280895</v>
      </c>
      <c r="G39" s="240">
        <v>0</v>
      </c>
      <c r="H39" s="240">
        <v>0</v>
      </c>
    </row>
    <row r="40" spans="1:8" ht="15.6" x14ac:dyDescent="0.3">
      <c r="A40" s="237">
        <v>20200</v>
      </c>
      <c r="B40" s="209" t="s">
        <v>612</v>
      </c>
      <c r="C40" s="239">
        <v>-3385549</v>
      </c>
      <c r="D40" s="240">
        <v>-2626826</v>
      </c>
      <c r="E40" s="240">
        <v>-3764381</v>
      </c>
      <c r="F40" s="240">
        <v>-2336663</v>
      </c>
      <c r="G40" s="240">
        <v>0</v>
      </c>
      <c r="H40" s="240">
        <v>0</v>
      </c>
    </row>
    <row r="41" spans="1:8" ht="15.6" x14ac:dyDescent="0.3">
      <c r="A41" s="237">
        <v>20300</v>
      </c>
      <c r="B41" s="209" t="s">
        <v>613</v>
      </c>
      <c r="C41" s="239">
        <v>-68546169</v>
      </c>
      <c r="D41" s="240">
        <v>-56019101</v>
      </c>
      <c r="E41" s="240">
        <v>-63439343</v>
      </c>
      <c r="F41" s="240">
        <v>-41938219</v>
      </c>
      <c r="G41" s="240">
        <v>0</v>
      </c>
      <c r="H41" s="240">
        <v>0</v>
      </c>
    </row>
    <row r="42" spans="1:8" ht="15.6" x14ac:dyDescent="0.3">
      <c r="A42" s="237">
        <v>20400</v>
      </c>
      <c r="B42" s="209" t="s">
        <v>614</v>
      </c>
      <c r="C42" s="239">
        <v>-2914503</v>
      </c>
      <c r="D42" s="240">
        <v>-1922186</v>
      </c>
      <c r="E42" s="240">
        <v>-2276304</v>
      </c>
      <c r="F42" s="240">
        <v>-1383855</v>
      </c>
      <c r="G42" s="240">
        <v>0</v>
      </c>
      <c r="H42" s="240">
        <v>0</v>
      </c>
    </row>
    <row r="43" spans="1:8" ht="15.6" x14ac:dyDescent="0.3">
      <c r="A43" s="237">
        <v>20600</v>
      </c>
      <c r="B43" s="209" t="s">
        <v>615</v>
      </c>
      <c r="C43" s="239">
        <v>-7601951</v>
      </c>
      <c r="D43" s="240">
        <v>-6933519</v>
      </c>
      <c r="E43" s="240">
        <v>-8187044</v>
      </c>
      <c r="F43" s="240">
        <v>-4408568</v>
      </c>
      <c r="G43" s="240">
        <v>0</v>
      </c>
      <c r="H43" s="240">
        <v>0</v>
      </c>
    </row>
    <row r="44" spans="1:8" ht="15.6" x14ac:dyDescent="0.3">
      <c r="A44" s="237">
        <v>20700</v>
      </c>
      <c r="B44" s="209" t="s">
        <v>616</v>
      </c>
      <c r="C44" s="239">
        <v>-14185298</v>
      </c>
      <c r="D44" s="240">
        <v>-10665189</v>
      </c>
      <c r="E44" s="240">
        <v>-12979698</v>
      </c>
      <c r="F44" s="240">
        <v>-8016199</v>
      </c>
      <c r="G44" s="240">
        <v>0</v>
      </c>
      <c r="H44" s="240">
        <v>0</v>
      </c>
    </row>
    <row r="45" spans="1:8" ht="15.6" x14ac:dyDescent="0.3">
      <c r="A45" s="237">
        <v>20800</v>
      </c>
      <c r="B45" s="209" t="s">
        <v>617</v>
      </c>
      <c r="C45" s="239">
        <v>-13222780</v>
      </c>
      <c r="D45" s="240">
        <v>-9740425</v>
      </c>
      <c r="E45" s="240">
        <v>-10764123</v>
      </c>
      <c r="F45" s="240">
        <v>-6156282</v>
      </c>
      <c r="G45" s="240">
        <v>0</v>
      </c>
      <c r="H45" s="240">
        <v>0</v>
      </c>
    </row>
    <row r="46" spans="1:8" ht="15.6" x14ac:dyDescent="0.3">
      <c r="A46" s="237">
        <v>20900</v>
      </c>
      <c r="B46" s="209" t="s">
        <v>618</v>
      </c>
      <c r="C46" s="239">
        <v>-21818373</v>
      </c>
      <c r="D46" s="240">
        <v>-15551104</v>
      </c>
      <c r="E46" s="240">
        <v>-22561631</v>
      </c>
      <c r="F46" s="240">
        <v>-14537035</v>
      </c>
      <c r="G46" s="240">
        <v>0</v>
      </c>
      <c r="H46" s="240">
        <v>0</v>
      </c>
    </row>
    <row r="47" spans="1:8" ht="15.6" x14ac:dyDescent="0.3">
      <c r="A47" s="237">
        <v>21200</v>
      </c>
      <c r="B47" s="209" t="s">
        <v>619</v>
      </c>
      <c r="C47" s="239">
        <v>-7873274</v>
      </c>
      <c r="D47" s="240">
        <v>-5871867</v>
      </c>
      <c r="E47" s="240">
        <v>-7139752</v>
      </c>
      <c r="F47" s="240">
        <v>-5040234</v>
      </c>
      <c r="G47" s="240">
        <v>0</v>
      </c>
      <c r="H47" s="240">
        <v>0</v>
      </c>
    </row>
    <row r="48" spans="1:8" ht="15.6" x14ac:dyDescent="0.3">
      <c r="A48" s="237">
        <v>21300</v>
      </c>
      <c r="B48" s="209" t="s">
        <v>620</v>
      </c>
      <c r="C48" s="239">
        <v>-98148519</v>
      </c>
      <c r="D48" s="240">
        <v>-81384670</v>
      </c>
      <c r="E48" s="240">
        <v>-95285967</v>
      </c>
      <c r="F48" s="240">
        <v>-62074926</v>
      </c>
      <c r="G48" s="240">
        <v>0</v>
      </c>
      <c r="H48" s="240">
        <v>0</v>
      </c>
    </row>
    <row r="49" spans="1:8" ht="15.6" x14ac:dyDescent="0.3">
      <c r="A49" s="237">
        <v>21520</v>
      </c>
      <c r="B49" s="209" t="s">
        <v>47</v>
      </c>
      <c r="C49" s="239">
        <v>-158898483</v>
      </c>
      <c r="D49" s="240">
        <v>-114587411</v>
      </c>
      <c r="E49" s="240">
        <v>-145516452</v>
      </c>
      <c r="F49" s="240">
        <v>-82513514</v>
      </c>
      <c r="G49" s="240">
        <v>0</v>
      </c>
      <c r="H49" s="240">
        <v>0</v>
      </c>
    </row>
    <row r="50" spans="1:8" ht="15.6" x14ac:dyDescent="0.3">
      <c r="A50" s="237">
        <v>21525</v>
      </c>
      <c r="B50" s="209" t="s">
        <v>621</v>
      </c>
      <c r="C50" s="239">
        <v>-4349919</v>
      </c>
      <c r="D50" s="240">
        <v>-1728407</v>
      </c>
      <c r="E50" s="240">
        <v>-2421482</v>
      </c>
      <c r="F50" s="240">
        <v>-988985</v>
      </c>
      <c r="G50" s="240">
        <v>0</v>
      </c>
      <c r="H50" s="240">
        <v>0</v>
      </c>
    </row>
    <row r="51" spans="1:8" ht="16.05" customHeight="1" x14ac:dyDescent="0.3">
      <c r="A51" s="238">
        <v>21525.200000000001</v>
      </c>
      <c r="B51" s="209" t="s">
        <v>622</v>
      </c>
      <c r="C51" s="239">
        <v>99356</v>
      </c>
      <c r="D51" s="240">
        <v>7324</v>
      </c>
      <c r="E51" s="240">
        <v>-23930</v>
      </c>
      <c r="F51" s="240">
        <v>10768</v>
      </c>
      <c r="G51" s="240">
        <v>0</v>
      </c>
      <c r="H51" s="240">
        <v>0</v>
      </c>
    </row>
    <row r="52" spans="1:8" ht="15.6" x14ac:dyDescent="0.3">
      <c r="A52" s="237">
        <v>21550</v>
      </c>
      <c r="B52" s="209" t="s">
        <v>623</v>
      </c>
      <c r="C52" s="239">
        <v>-87900590</v>
      </c>
      <c r="D52" s="240">
        <v>-42083113</v>
      </c>
      <c r="E52" s="240">
        <v>-78757699</v>
      </c>
      <c r="F52" s="240">
        <v>-46724486</v>
      </c>
      <c r="G52" s="240">
        <v>0</v>
      </c>
      <c r="H52" s="240">
        <v>0</v>
      </c>
    </row>
    <row r="53" spans="1:8" ht="15.6" x14ac:dyDescent="0.3">
      <c r="A53" s="237">
        <v>21570</v>
      </c>
      <c r="B53" s="209" t="s">
        <v>624</v>
      </c>
      <c r="C53" s="239">
        <v>-338139</v>
      </c>
      <c r="D53" s="240">
        <v>-127542</v>
      </c>
      <c r="E53" s="240">
        <v>-331893</v>
      </c>
      <c r="F53" s="240">
        <v>-173701</v>
      </c>
      <c r="G53" s="240">
        <v>0</v>
      </c>
      <c r="H53" s="240">
        <v>0</v>
      </c>
    </row>
    <row r="54" spans="1:8" ht="15.6" x14ac:dyDescent="0.3">
      <c r="A54" s="237">
        <v>21800</v>
      </c>
      <c r="B54" s="209" t="s">
        <v>625</v>
      </c>
      <c r="C54" s="239">
        <v>-13477115</v>
      </c>
      <c r="D54" s="240">
        <v>-10595159</v>
      </c>
      <c r="E54" s="240">
        <v>-13436528</v>
      </c>
      <c r="F54" s="240">
        <v>-8231137</v>
      </c>
      <c r="G54" s="240">
        <v>0</v>
      </c>
      <c r="H54" s="240">
        <v>0</v>
      </c>
    </row>
    <row r="55" spans="1:8" ht="15.6" x14ac:dyDescent="0.3">
      <c r="A55" s="237">
        <v>21900</v>
      </c>
      <c r="B55" s="209" t="s">
        <v>626</v>
      </c>
      <c r="C55" s="239">
        <v>-10768407</v>
      </c>
      <c r="D55" s="240">
        <v>-8953885</v>
      </c>
      <c r="E55" s="240">
        <v>-8658104</v>
      </c>
      <c r="F55" s="240">
        <v>-5023333</v>
      </c>
      <c r="G55" s="240">
        <v>0</v>
      </c>
      <c r="H55" s="240">
        <v>0</v>
      </c>
    </row>
    <row r="56" spans="1:8" ht="15.6" x14ac:dyDescent="0.3">
      <c r="A56" s="237">
        <v>22000</v>
      </c>
      <c r="B56" s="209" t="s">
        <v>627</v>
      </c>
      <c r="C56" s="239">
        <v>-8934711</v>
      </c>
      <c r="D56" s="240">
        <v>-4744905</v>
      </c>
      <c r="E56" s="240">
        <v>-3685677</v>
      </c>
      <c r="F56" s="240">
        <v>-666734</v>
      </c>
      <c r="G56" s="240">
        <v>0</v>
      </c>
      <c r="H56" s="240">
        <v>0</v>
      </c>
    </row>
    <row r="57" spans="1:8" ht="15.6" x14ac:dyDescent="0.3">
      <c r="A57" s="237">
        <v>23000</v>
      </c>
      <c r="B57" s="209" t="s">
        <v>628</v>
      </c>
      <c r="C57" s="239">
        <v>-7660243</v>
      </c>
      <c r="D57" s="240">
        <v>-6379160</v>
      </c>
      <c r="E57" s="240">
        <v>-6785562</v>
      </c>
      <c r="F57" s="240">
        <v>-4189407</v>
      </c>
      <c r="G57" s="240">
        <v>0</v>
      </c>
      <c r="H57" s="240">
        <v>0</v>
      </c>
    </row>
    <row r="58" spans="1:8" ht="15.6" x14ac:dyDescent="0.3">
      <c r="A58" s="237">
        <v>23100</v>
      </c>
      <c r="B58" s="209" t="s">
        <v>629</v>
      </c>
      <c r="C58" s="239">
        <v>-36086007</v>
      </c>
      <c r="D58" s="240">
        <v>-27005603</v>
      </c>
      <c r="E58" s="240">
        <v>-36901666</v>
      </c>
      <c r="F58" s="240">
        <v>-23475240</v>
      </c>
      <c r="G58" s="240">
        <v>0</v>
      </c>
      <c r="H58" s="240">
        <v>0</v>
      </c>
    </row>
    <row r="59" spans="1:8" ht="15.6" x14ac:dyDescent="0.3">
      <c r="A59" s="237">
        <v>23200</v>
      </c>
      <c r="B59" s="209" t="s">
        <v>630</v>
      </c>
      <c r="C59" s="239">
        <v>-15018389</v>
      </c>
      <c r="D59" s="240">
        <v>-9397371</v>
      </c>
      <c r="E59" s="240">
        <v>-17308527</v>
      </c>
      <c r="F59" s="240">
        <v>-9460767</v>
      </c>
      <c r="G59" s="240">
        <v>0</v>
      </c>
      <c r="H59" s="240">
        <v>0</v>
      </c>
    </row>
    <row r="60" spans="1:8" ht="15.6" x14ac:dyDescent="0.3">
      <c r="A60" s="237">
        <v>30000</v>
      </c>
      <c r="B60" s="209" t="s">
        <v>631</v>
      </c>
      <c r="C60" s="239">
        <v>-3460689</v>
      </c>
      <c r="D60" s="240">
        <v>-2395675</v>
      </c>
      <c r="E60" s="240">
        <v>-2067835</v>
      </c>
      <c r="F60" s="240">
        <v>-1243483</v>
      </c>
      <c r="G60" s="240">
        <v>0</v>
      </c>
      <c r="H60" s="240">
        <v>0</v>
      </c>
    </row>
    <row r="61" spans="1:8" ht="15.6" x14ac:dyDescent="0.3">
      <c r="A61" s="237">
        <v>30100</v>
      </c>
      <c r="B61" s="209" t="s">
        <v>632</v>
      </c>
      <c r="C61" s="239">
        <v>-24367835</v>
      </c>
      <c r="D61" s="240">
        <v>-13935707</v>
      </c>
      <c r="E61" s="240">
        <v>-14754502</v>
      </c>
      <c r="F61" s="240">
        <v>-7661096</v>
      </c>
      <c r="G61" s="240">
        <v>0</v>
      </c>
      <c r="H61" s="240">
        <v>0</v>
      </c>
    </row>
    <row r="62" spans="1:8" ht="15.6" x14ac:dyDescent="0.3">
      <c r="A62" s="237">
        <v>30102</v>
      </c>
      <c r="B62" s="209" t="s">
        <v>633</v>
      </c>
      <c r="C62" s="239">
        <v>-378574</v>
      </c>
      <c r="D62" s="240">
        <v>-219455</v>
      </c>
      <c r="E62" s="240">
        <v>-264537</v>
      </c>
      <c r="F62" s="240">
        <v>-128135</v>
      </c>
      <c r="G62" s="240">
        <v>0</v>
      </c>
      <c r="H62" s="240">
        <v>0</v>
      </c>
    </row>
    <row r="63" spans="1:8" ht="15.6" x14ac:dyDescent="0.3">
      <c r="A63" s="237">
        <v>30103</v>
      </c>
      <c r="B63" s="209" t="s">
        <v>634</v>
      </c>
      <c r="C63" s="239">
        <v>-561425</v>
      </c>
      <c r="D63" s="240">
        <v>-279481</v>
      </c>
      <c r="E63" s="240">
        <v>-367504</v>
      </c>
      <c r="F63" s="240">
        <v>-337165</v>
      </c>
      <c r="G63" s="240">
        <v>0</v>
      </c>
      <c r="H63" s="240">
        <v>0</v>
      </c>
    </row>
    <row r="64" spans="1:8" ht="15.6" x14ac:dyDescent="0.3">
      <c r="A64" s="237">
        <v>30104</v>
      </c>
      <c r="B64" s="209" t="s">
        <v>635</v>
      </c>
      <c r="C64" s="239">
        <v>-283484</v>
      </c>
      <c r="D64" s="240">
        <v>-175260</v>
      </c>
      <c r="E64" s="240">
        <v>-123634</v>
      </c>
      <c r="F64" s="240">
        <v>81781</v>
      </c>
      <c r="G64" s="240">
        <v>0</v>
      </c>
      <c r="H64" s="240">
        <v>0</v>
      </c>
    </row>
    <row r="65" spans="1:8" ht="15.6" x14ac:dyDescent="0.3">
      <c r="A65" s="237">
        <v>30105</v>
      </c>
      <c r="B65" s="209" t="s">
        <v>636</v>
      </c>
      <c r="C65" s="239">
        <v>-2244155</v>
      </c>
      <c r="D65" s="240">
        <v>-1856318</v>
      </c>
      <c r="E65" s="240">
        <v>-1905783</v>
      </c>
      <c r="F65" s="240">
        <v>-828021</v>
      </c>
      <c r="G65" s="240">
        <v>0</v>
      </c>
      <c r="H65" s="240">
        <v>0</v>
      </c>
    </row>
    <row r="66" spans="1:8" ht="15.6" x14ac:dyDescent="0.3">
      <c r="A66" s="237">
        <v>30200</v>
      </c>
      <c r="B66" s="209" t="s">
        <v>637</v>
      </c>
      <c r="C66" s="239">
        <v>-5645219</v>
      </c>
      <c r="D66" s="240">
        <v>-3426291</v>
      </c>
      <c r="E66" s="240">
        <v>-3645812</v>
      </c>
      <c r="F66" s="240">
        <v>-1848475</v>
      </c>
      <c r="G66" s="240">
        <v>0</v>
      </c>
      <c r="H66" s="240">
        <v>0</v>
      </c>
    </row>
    <row r="67" spans="1:8" ht="15.6" x14ac:dyDescent="0.3">
      <c r="A67" s="237">
        <v>30300</v>
      </c>
      <c r="B67" s="209" t="s">
        <v>638</v>
      </c>
      <c r="C67" s="239">
        <v>-1840587</v>
      </c>
      <c r="D67" s="240">
        <v>-1152166</v>
      </c>
      <c r="E67" s="240">
        <v>-1302847</v>
      </c>
      <c r="F67" s="240">
        <v>-752244</v>
      </c>
      <c r="G67" s="240">
        <v>0</v>
      </c>
      <c r="H67" s="240">
        <v>0</v>
      </c>
    </row>
    <row r="68" spans="1:8" ht="15.6" x14ac:dyDescent="0.3">
      <c r="A68" s="237">
        <v>30400</v>
      </c>
      <c r="B68" s="209" t="s">
        <v>639</v>
      </c>
      <c r="C68" s="239">
        <v>-3508954</v>
      </c>
      <c r="D68" s="240">
        <v>-2161066</v>
      </c>
      <c r="E68" s="240">
        <v>-2259311</v>
      </c>
      <c r="F68" s="240">
        <v>-1409735</v>
      </c>
      <c r="G68" s="240">
        <v>0</v>
      </c>
      <c r="H68" s="240">
        <v>0</v>
      </c>
    </row>
    <row r="69" spans="1:8" ht="15.6" x14ac:dyDescent="0.3">
      <c r="A69" s="237">
        <v>30405</v>
      </c>
      <c r="B69" s="209" t="s">
        <v>640</v>
      </c>
      <c r="C69" s="239">
        <v>-2399196</v>
      </c>
      <c r="D69" s="240">
        <v>-1658486</v>
      </c>
      <c r="E69" s="240">
        <v>-1299514</v>
      </c>
      <c r="F69" s="240">
        <v>-642567</v>
      </c>
      <c r="G69" s="240">
        <v>0</v>
      </c>
      <c r="H69" s="240">
        <v>0</v>
      </c>
    </row>
    <row r="70" spans="1:8" ht="15.6" x14ac:dyDescent="0.3">
      <c r="A70" s="237">
        <v>30500</v>
      </c>
      <c r="B70" s="209" t="s">
        <v>641</v>
      </c>
      <c r="C70" s="239">
        <v>-4133169</v>
      </c>
      <c r="D70" s="240">
        <v>-2779425</v>
      </c>
      <c r="E70" s="240">
        <v>-2871784</v>
      </c>
      <c r="F70" s="240">
        <v>-1806489</v>
      </c>
      <c r="G70" s="240">
        <v>0</v>
      </c>
      <c r="H70" s="240">
        <v>0</v>
      </c>
    </row>
    <row r="71" spans="1:8" ht="15.6" x14ac:dyDescent="0.3">
      <c r="A71" s="237">
        <v>30600</v>
      </c>
      <c r="B71" s="209" t="s">
        <v>642</v>
      </c>
      <c r="C71" s="239">
        <v>-3196496</v>
      </c>
      <c r="D71" s="240">
        <v>-1969951</v>
      </c>
      <c r="E71" s="240">
        <v>-1808435</v>
      </c>
      <c r="F71" s="240">
        <v>-904449</v>
      </c>
      <c r="G71" s="240">
        <v>0</v>
      </c>
      <c r="H71" s="240">
        <v>0</v>
      </c>
    </row>
    <row r="72" spans="1:8" ht="15.6" x14ac:dyDescent="0.3">
      <c r="A72" s="237">
        <v>30601</v>
      </c>
      <c r="B72" s="209" t="s">
        <v>643</v>
      </c>
      <c r="C72" s="239">
        <v>-119630</v>
      </c>
      <c r="D72" s="240">
        <v>-147487</v>
      </c>
      <c r="E72" s="240">
        <v>-43359</v>
      </c>
      <c r="F72" s="240">
        <v>-101885</v>
      </c>
      <c r="G72" s="240">
        <v>0</v>
      </c>
      <c r="H72" s="240">
        <v>0</v>
      </c>
    </row>
    <row r="73" spans="1:8" ht="15.6" x14ac:dyDescent="0.3">
      <c r="A73" s="237">
        <v>30700</v>
      </c>
      <c r="B73" s="209" t="s">
        <v>644</v>
      </c>
      <c r="C73" s="239">
        <v>-6980625</v>
      </c>
      <c r="D73" s="240">
        <v>-3927675</v>
      </c>
      <c r="E73" s="240">
        <v>-3953618</v>
      </c>
      <c r="F73" s="240">
        <v>-1625968</v>
      </c>
      <c r="G73" s="240">
        <v>0</v>
      </c>
      <c r="H73" s="240">
        <v>0</v>
      </c>
    </row>
    <row r="74" spans="1:8" ht="15.6" x14ac:dyDescent="0.3">
      <c r="A74" s="237">
        <v>30705</v>
      </c>
      <c r="B74" s="209" t="s">
        <v>645</v>
      </c>
      <c r="C74" s="239">
        <v>-1229548</v>
      </c>
      <c r="D74" s="240">
        <v>-820050</v>
      </c>
      <c r="E74" s="240">
        <v>-905910</v>
      </c>
      <c r="F74" s="240">
        <v>-483749</v>
      </c>
      <c r="G74" s="240">
        <v>0</v>
      </c>
      <c r="H74" s="240">
        <v>0</v>
      </c>
    </row>
    <row r="75" spans="1:8" ht="15.6" x14ac:dyDescent="0.3">
      <c r="A75" s="237">
        <v>30800</v>
      </c>
      <c r="B75" s="209" t="s">
        <v>646</v>
      </c>
      <c r="C75" s="239">
        <v>-3498398</v>
      </c>
      <c r="D75" s="240">
        <v>-2026802</v>
      </c>
      <c r="E75" s="240">
        <v>-2021237</v>
      </c>
      <c r="F75" s="240">
        <v>-1161146</v>
      </c>
      <c r="G75" s="240">
        <v>0</v>
      </c>
      <c r="H75" s="240">
        <v>0</v>
      </c>
    </row>
    <row r="76" spans="1:8" ht="15.6" x14ac:dyDescent="0.3">
      <c r="A76" s="237">
        <v>30900</v>
      </c>
      <c r="B76" s="209" t="s">
        <v>647</v>
      </c>
      <c r="C76" s="239">
        <v>-4902144</v>
      </c>
      <c r="D76" s="240">
        <v>-3379468</v>
      </c>
      <c r="E76" s="240">
        <v>-3267484</v>
      </c>
      <c r="F76" s="240">
        <v>-1983526</v>
      </c>
      <c r="G76" s="240">
        <v>0</v>
      </c>
      <c r="H76" s="240">
        <v>0</v>
      </c>
    </row>
    <row r="77" spans="1:8" ht="15.6" x14ac:dyDescent="0.3">
      <c r="A77" s="237">
        <v>30905</v>
      </c>
      <c r="B77" s="209" t="s">
        <v>648</v>
      </c>
      <c r="C77" s="239">
        <v>-765532</v>
      </c>
      <c r="D77" s="240">
        <v>-591827</v>
      </c>
      <c r="E77" s="240">
        <v>-665504</v>
      </c>
      <c r="F77" s="240">
        <v>-438415</v>
      </c>
      <c r="G77" s="240">
        <v>0</v>
      </c>
      <c r="H77" s="240">
        <v>0</v>
      </c>
    </row>
    <row r="78" spans="1:8" ht="15.6" x14ac:dyDescent="0.3">
      <c r="A78" s="237">
        <v>31000</v>
      </c>
      <c r="B78" s="209" t="s">
        <v>649</v>
      </c>
      <c r="C78" s="239">
        <v>-13440222</v>
      </c>
      <c r="D78" s="240">
        <v>-8655533</v>
      </c>
      <c r="E78" s="240">
        <v>-9191884</v>
      </c>
      <c r="F78" s="240">
        <v>-5150915</v>
      </c>
      <c r="G78" s="240">
        <v>0</v>
      </c>
      <c r="H78" s="240">
        <v>0</v>
      </c>
    </row>
    <row r="79" spans="1:8" ht="15.6" x14ac:dyDescent="0.3">
      <c r="A79" s="237">
        <v>31005</v>
      </c>
      <c r="B79" s="209" t="s">
        <v>650</v>
      </c>
      <c r="C79" s="239">
        <v>-1100668</v>
      </c>
      <c r="D79" s="240">
        <v>-693710</v>
      </c>
      <c r="E79" s="240">
        <v>-790934</v>
      </c>
      <c r="F79" s="240">
        <v>-332337</v>
      </c>
      <c r="G79" s="240">
        <v>0</v>
      </c>
      <c r="H79" s="240">
        <v>0</v>
      </c>
    </row>
    <row r="80" spans="1:8" ht="15.6" x14ac:dyDescent="0.3">
      <c r="A80" s="237">
        <v>31100</v>
      </c>
      <c r="B80" s="209" t="s">
        <v>651</v>
      </c>
      <c r="C80" s="239">
        <v>-30039429</v>
      </c>
      <c r="D80" s="240">
        <v>-20980889</v>
      </c>
      <c r="E80" s="240">
        <v>-22025424</v>
      </c>
      <c r="F80" s="240">
        <v>-13472641</v>
      </c>
      <c r="G80" s="240">
        <v>0</v>
      </c>
      <c r="H80" s="240">
        <v>0</v>
      </c>
    </row>
    <row r="81" spans="1:8" ht="15.6" x14ac:dyDescent="0.3">
      <c r="A81" s="237">
        <v>31101</v>
      </c>
      <c r="B81" s="209" t="s">
        <v>652</v>
      </c>
      <c r="C81" s="239">
        <v>-208757</v>
      </c>
      <c r="D81" s="240">
        <v>-136509</v>
      </c>
      <c r="E81" s="240">
        <v>-98539</v>
      </c>
      <c r="F81" s="240">
        <v>-34286</v>
      </c>
      <c r="G81" s="240">
        <v>0</v>
      </c>
      <c r="H81" s="240">
        <v>0</v>
      </c>
    </row>
    <row r="82" spans="1:8" ht="15.6" x14ac:dyDescent="0.3">
      <c r="A82" s="237">
        <v>31102</v>
      </c>
      <c r="B82" s="209" t="s">
        <v>653</v>
      </c>
      <c r="C82" s="239">
        <v>-503782</v>
      </c>
      <c r="D82" s="240">
        <v>-371269</v>
      </c>
      <c r="E82" s="240">
        <v>-469123</v>
      </c>
      <c r="F82" s="240">
        <v>-246567</v>
      </c>
      <c r="G82" s="240">
        <v>0</v>
      </c>
      <c r="H82" s="240">
        <v>0</v>
      </c>
    </row>
    <row r="83" spans="1:8" ht="15.6" x14ac:dyDescent="0.3">
      <c r="A83" s="237">
        <v>31105</v>
      </c>
      <c r="B83" s="209" t="s">
        <v>654</v>
      </c>
      <c r="C83" s="239">
        <v>-3929368</v>
      </c>
      <c r="D83" s="240">
        <v>-3208960</v>
      </c>
      <c r="E83" s="240">
        <v>-3346034</v>
      </c>
      <c r="F83" s="240">
        <v>-1717436</v>
      </c>
      <c r="G83" s="240">
        <v>0</v>
      </c>
      <c r="H83" s="240">
        <v>0</v>
      </c>
    </row>
    <row r="84" spans="1:8" ht="15.6" x14ac:dyDescent="0.3">
      <c r="A84" s="237">
        <v>31110</v>
      </c>
      <c r="B84" s="209" t="s">
        <v>655</v>
      </c>
      <c r="C84" s="239">
        <v>-6573152</v>
      </c>
      <c r="D84" s="240">
        <v>-4602555</v>
      </c>
      <c r="E84" s="240">
        <v>-5452330</v>
      </c>
      <c r="F84" s="240">
        <v>-3462705</v>
      </c>
      <c r="G84" s="240">
        <v>0</v>
      </c>
      <c r="H84" s="240">
        <v>0</v>
      </c>
    </row>
    <row r="85" spans="1:8" ht="15.6" x14ac:dyDescent="0.3">
      <c r="A85" s="237">
        <v>31200</v>
      </c>
      <c r="B85" s="209" t="s">
        <v>656</v>
      </c>
      <c r="C85" s="239">
        <v>-13655675</v>
      </c>
      <c r="D85" s="240">
        <v>-8398022</v>
      </c>
      <c r="E85" s="240">
        <v>-8470532</v>
      </c>
      <c r="F85" s="240">
        <v>-5087509</v>
      </c>
      <c r="G85" s="240">
        <v>0</v>
      </c>
      <c r="H85" s="240">
        <v>0</v>
      </c>
    </row>
    <row r="86" spans="1:8" ht="15.6" x14ac:dyDescent="0.3">
      <c r="A86" s="237">
        <v>31205</v>
      </c>
      <c r="B86" s="209" t="s">
        <v>657</v>
      </c>
      <c r="C86" s="239">
        <v>-1500051</v>
      </c>
      <c r="D86" s="240">
        <v>-1066238</v>
      </c>
      <c r="E86" s="240">
        <v>-1003523</v>
      </c>
      <c r="F86" s="240">
        <v>-442626</v>
      </c>
      <c r="G86" s="240">
        <v>0</v>
      </c>
      <c r="H86" s="240">
        <v>0</v>
      </c>
    </row>
    <row r="87" spans="1:8" ht="15.6" x14ac:dyDescent="0.3">
      <c r="A87" s="237">
        <v>31300</v>
      </c>
      <c r="B87" s="209" t="s">
        <v>658</v>
      </c>
      <c r="C87" s="239">
        <v>-34402702</v>
      </c>
      <c r="D87" s="240">
        <v>-21826390</v>
      </c>
      <c r="E87" s="240">
        <v>-24108221</v>
      </c>
      <c r="F87" s="240">
        <v>-14640886</v>
      </c>
      <c r="G87" s="240">
        <v>0</v>
      </c>
      <c r="H87" s="240">
        <v>0</v>
      </c>
    </row>
    <row r="88" spans="1:8" ht="15.6" x14ac:dyDescent="0.3">
      <c r="A88" s="237">
        <v>31301</v>
      </c>
      <c r="B88" s="209" t="s">
        <v>659</v>
      </c>
      <c r="C88" s="239">
        <v>-983315</v>
      </c>
      <c r="D88" s="240">
        <v>-716049</v>
      </c>
      <c r="E88" s="240">
        <v>-662951</v>
      </c>
      <c r="F88" s="240">
        <v>-424517</v>
      </c>
      <c r="G88" s="240">
        <v>0</v>
      </c>
      <c r="H88" s="240">
        <v>0</v>
      </c>
    </row>
    <row r="89" spans="1:8" ht="15.6" x14ac:dyDescent="0.3">
      <c r="A89" s="237">
        <v>31320</v>
      </c>
      <c r="B89" s="209" t="s">
        <v>660</v>
      </c>
      <c r="C89" s="239">
        <v>-6802146</v>
      </c>
      <c r="D89" s="240">
        <v>-4301102</v>
      </c>
      <c r="E89" s="240">
        <v>-4801565</v>
      </c>
      <c r="F89" s="240">
        <v>-2749117</v>
      </c>
      <c r="G89" s="240">
        <v>0</v>
      </c>
      <c r="H89" s="240">
        <v>0</v>
      </c>
    </row>
    <row r="90" spans="1:8" ht="15.6" x14ac:dyDescent="0.3">
      <c r="A90" s="237">
        <v>31400</v>
      </c>
      <c r="B90" s="209" t="s">
        <v>661</v>
      </c>
      <c r="C90" s="239">
        <v>-14495003</v>
      </c>
      <c r="D90" s="240">
        <v>-9937454</v>
      </c>
      <c r="E90" s="240">
        <v>-9651366</v>
      </c>
      <c r="F90" s="240">
        <v>-5050504</v>
      </c>
      <c r="G90" s="240">
        <v>0</v>
      </c>
      <c r="H90" s="240">
        <v>0</v>
      </c>
    </row>
    <row r="91" spans="1:8" ht="15.6" x14ac:dyDescent="0.3">
      <c r="A91" s="237">
        <v>31405</v>
      </c>
      <c r="B91" s="209" t="s">
        <v>662</v>
      </c>
      <c r="C91" s="239">
        <v>-2285743</v>
      </c>
      <c r="D91" s="240">
        <v>-1735726</v>
      </c>
      <c r="E91" s="240">
        <v>-1661328</v>
      </c>
      <c r="F91" s="240">
        <v>-690184</v>
      </c>
      <c r="G91" s="240">
        <v>0</v>
      </c>
      <c r="H91" s="240">
        <v>0</v>
      </c>
    </row>
    <row r="92" spans="1:8" ht="15.6" x14ac:dyDescent="0.3">
      <c r="A92" s="237">
        <v>31500</v>
      </c>
      <c r="B92" s="209" t="s">
        <v>663</v>
      </c>
      <c r="C92" s="239">
        <v>-1642317</v>
      </c>
      <c r="D92" s="240">
        <v>-833096</v>
      </c>
      <c r="E92" s="240">
        <v>-1117122</v>
      </c>
      <c r="F92" s="240">
        <v>-306076</v>
      </c>
      <c r="G92" s="240">
        <v>0</v>
      </c>
      <c r="H92" s="240">
        <v>0</v>
      </c>
    </row>
    <row r="93" spans="1:8" ht="15.6" x14ac:dyDescent="0.3">
      <c r="A93" s="237">
        <v>31600</v>
      </c>
      <c r="B93" s="209" t="s">
        <v>664</v>
      </c>
      <c r="C93" s="239">
        <v>-8744753</v>
      </c>
      <c r="D93" s="240">
        <v>-5131818</v>
      </c>
      <c r="E93" s="240">
        <v>-5683474</v>
      </c>
      <c r="F93" s="240">
        <v>-2831425</v>
      </c>
      <c r="G93" s="240">
        <v>0</v>
      </c>
      <c r="H93" s="240">
        <v>0</v>
      </c>
    </row>
    <row r="94" spans="1:8" ht="15.6" x14ac:dyDescent="0.3">
      <c r="A94" s="237">
        <v>31605</v>
      </c>
      <c r="B94" s="209" t="s">
        <v>665</v>
      </c>
      <c r="C94" s="239">
        <v>-1120510</v>
      </c>
      <c r="D94" s="240">
        <v>-682976</v>
      </c>
      <c r="E94" s="240">
        <v>-776386</v>
      </c>
      <c r="F94" s="240">
        <v>-455204</v>
      </c>
      <c r="G94" s="240">
        <v>0</v>
      </c>
      <c r="H94" s="240">
        <v>0</v>
      </c>
    </row>
    <row r="95" spans="1:8" ht="15.6" x14ac:dyDescent="0.3">
      <c r="A95" s="237">
        <v>31700</v>
      </c>
      <c r="B95" s="209" t="s">
        <v>666</v>
      </c>
      <c r="C95" s="239">
        <v>-3210110</v>
      </c>
      <c r="D95" s="240">
        <v>-2518830</v>
      </c>
      <c r="E95" s="240">
        <v>-2362928</v>
      </c>
      <c r="F95" s="240">
        <v>-1359633</v>
      </c>
      <c r="G95" s="240">
        <v>0</v>
      </c>
      <c r="H95" s="240">
        <v>0</v>
      </c>
    </row>
    <row r="96" spans="1:8" ht="15.6" x14ac:dyDescent="0.3">
      <c r="A96" s="237">
        <v>31800</v>
      </c>
      <c r="B96" s="209" t="s">
        <v>667</v>
      </c>
      <c r="C96" s="239">
        <v>-16950432</v>
      </c>
      <c r="D96" s="240">
        <v>-9594993</v>
      </c>
      <c r="E96" s="240">
        <v>-9875542</v>
      </c>
      <c r="F96" s="240">
        <v>-5308435</v>
      </c>
      <c r="G96" s="240">
        <v>0</v>
      </c>
      <c r="H96" s="240">
        <v>0</v>
      </c>
    </row>
    <row r="97" spans="1:8" ht="15.6" x14ac:dyDescent="0.3">
      <c r="A97" s="237">
        <v>31805</v>
      </c>
      <c r="B97" s="209" t="s">
        <v>668</v>
      </c>
      <c r="C97" s="239">
        <v>-2244510</v>
      </c>
      <c r="D97" s="240">
        <v>-1356668</v>
      </c>
      <c r="E97" s="240">
        <v>-1761602</v>
      </c>
      <c r="F97" s="240">
        <v>-727564</v>
      </c>
      <c r="G97" s="240">
        <v>0</v>
      </c>
      <c r="H97" s="240">
        <v>0</v>
      </c>
    </row>
    <row r="98" spans="1:8" ht="15.6" x14ac:dyDescent="0.3">
      <c r="A98" s="237">
        <v>31810</v>
      </c>
      <c r="B98" s="209" t="s">
        <v>669</v>
      </c>
      <c r="C98" s="239">
        <v>-4861982</v>
      </c>
      <c r="D98" s="240">
        <v>-3417493</v>
      </c>
      <c r="E98" s="240">
        <v>-3040132</v>
      </c>
      <c r="F98" s="240">
        <v>-1658165</v>
      </c>
      <c r="G98" s="240">
        <v>0</v>
      </c>
      <c r="H98" s="240">
        <v>0</v>
      </c>
    </row>
    <row r="99" spans="1:8" ht="15.6" x14ac:dyDescent="0.3">
      <c r="A99" s="237">
        <v>31820</v>
      </c>
      <c r="B99" s="209" t="s">
        <v>670</v>
      </c>
      <c r="C99" s="239">
        <v>-4140268</v>
      </c>
      <c r="D99" s="240">
        <v>-3006476</v>
      </c>
      <c r="E99" s="240">
        <v>-2828363</v>
      </c>
      <c r="F99" s="240">
        <v>-1616879</v>
      </c>
      <c r="G99" s="240">
        <v>0</v>
      </c>
      <c r="H99" s="240">
        <v>0</v>
      </c>
    </row>
    <row r="100" spans="1:8" ht="15.6" x14ac:dyDescent="0.3">
      <c r="A100" s="237">
        <v>31900</v>
      </c>
      <c r="B100" s="209" t="s">
        <v>671</v>
      </c>
      <c r="C100" s="239">
        <v>-10058917</v>
      </c>
      <c r="D100" s="240">
        <v>-6372290</v>
      </c>
      <c r="E100" s="240">
        <v>-7073612</v>
      </c>
      <c r="F100" s="240">
        <v>-4530811</v>
      </c>
      <c r="G100" s="240">
        <v>0</v>
      </c>
      <c r="H100" s="240">
        <v>0</v>
      </c>
    </row>
    <row r="101" spans="1:8" ht="15.6" x14ac:dyDescent="0.3">
      <c r="A101" s="237">
        <v>32000</v>
      </c>
      <c r="B101" s="209" t="s">
        <v>672</v>
      </c>
      <c r="C101" s="239">
        <v>-4380220</v>
      </c>
      <c r="D101" s="240">
        <v>-2975270</v>
      </c>
      <c r="E101" s="240">
        <v>-3171496</v>
      </c>
      <c r="F101" s="240">
        <v>-2004879</v>
      </c>
      <c r="G101" s="240">
        <v>0</v>
      </c>
      <c r="H101" s="240">
        <v>0</v>
      </c>
    </row>
    <row r="102" spans="1:8" ht="15.6" x14ac:dyDescent="0.3">
      <c r="A102" s="237">
        <v>32005</v>
      </c>
      <c r="B102" s="209" t="s">
        <v>673</v>
      </c>
      <c r="C102" s="239">
        <v>-621187</v>
      </c>
      <c r="D102" s="240">
        <v>-372901</v>
      </c>
      <c r="E102" s="240">
        <v>-319038</v>
      </c>
      <c r="F102" s="240">
        <v>-38194</v>
      </c>
      <c r="G102" s="240">
        <v>0</v>
      </c>
      <c r="H102" s="240">
        <v>0</v>
      </c>
    </row>
    <row r="103" spans="1:8" ht="15.6" x14ac:dyDescent="0.3">
      <c r="A103" s="237">
        <v>32100</v>
      </c>
      <c r="B103" s="209" t="s">
        <v>674</v>
      </c>
      <c r="C103" s="239">
        <v>-2540080</v>
      </c>
      <c r="D103" s="240">
        <v>-1702301</v>
      </c>
      <c r="E103" s="240">
        <v>-1741268</v>
      </c>
      <c r="F103" s="240">
        <v>-1101101</v>
      </c>
      <c r="G103" s="240">
        <v>0</v>
      </c>
      <c r="H103" s="240">
        <v>0</v>
      </c>
    </row>
    <row r="104" spans="1:8" ht="15.6" x14ac:dyDescent="0.3">
      <c r="A104" s="237">
        <v>32200</v>
      </c>
      <c r="B104" s="209" t="s">
        <v>675</v>
      </c>
      <c r="C104" s="239">
        <v>-1420408</v>
      </c>
      <c r="D104" s="240">
        <v>-970622</v>
      </c>
      <c r="E104" s="240">
        <v>-1041918</v>
      </c>
      <c r="F104" s="240">
        <v>-567220</v>
      </c>
      <c r="G104" s="240">
        <v>0</v>
      </c>
      <c r="H104" s="240">
        <v>0</v>
      </c>
    </row>
    <row r="105" spans="1:8" ht="15.6" x14ac:dyDescent="0.3">
      <c r="A105" s="237">
        <v>32300</v>
      </c>
      <c r="B105" s="209" t="s">
        <v>676</v>
      </c>
      <c r="C105" s="239">
        <v>-19581627</v>
      </c>
      <c r="D105" s="240">
        <v>-12667745</v>
      </c>
      <c r="E105" s="240">
        <v>-11339609</v>
      </c>
      <c r="F105" s="240">
        <v>-5776717</v>
      </c>
      <c r="G105" s="240">
        <v>0</v>
      </c>
      <c r="H105" s="240">
        <v>0</v>
      </c>
    </row>
    <row r="106" spans="1:8" ht="15.6" x14ac:dyDescent="0.3">
      <c r="A106" s="237">
        <v>32305</v>
      </c>
      <c r="B106" s="209" t="s">
        <v>677</v>
      </c>
      <c r="C106" s="239">
        <v>-1718233</v>
      </c>
      <c r="D106" s="240">
        <v>-935004</v>
      </c>
      <c r="E106" s="240">
        <v>-1235368</v>
      </c>
      <c r="F106" s="240">
        <v>-545680</v>
      </c>
      <c r="G106" s="240">
        <v>0</v>
      </c>
      <c r="H106" s="240">
        <v>0</v>
      </c>
    </row>
    <row r="107" spans="1:8" ht="15.6" x14ac:dyDescent="0.3">
      <c r="A107" s="237">
        <v>32400</v>
      </c>
      <c r="B107" s="209" t="s">
        <v>678</v>
      </c>
      <c r="C107" s="239">
        <v>-7076133</v>
      </c>
      <c r="D107" s="240">
        <v>-4491665</v>
      </c>
      <c r="E107" s="240">
        <v>-4198424</v>
      </c>
      <c r="F107" s="240">
        <v>-2356667</v>
      </c>
      <c r="G107" s="240">
        <v>0</v>
      </c>
      <c r="H107" s="240">
        <v>0</v>
      </c>
    </row>
    <row r="108" spans="1:8" ht="15.6" x14ac:dyDescent="0.3">
      <c r="A108" s="237">
        <v>32405</v>
      </c>
      <c r="B108" s="209" t="s">
        <v>679</v>
      </c>
      <c r="C108" s="239">
        <v>-1696382</v>
      </c>
      <c r="D108" s="240">
        <v>-1312418</v>
      </c>
      <c r="E108" s="240">
        <v>-1397996</v>
      </c>
      <c r="F108" s="240">
        <v>-800391</v>
      </c>
      <c r="G108" s="240">
        <v>0</v>
      </c>
      <c r="H108" s="240">
        <v>0</v>
      </c>
    </row>
    <row r="109" spans="1:8" ht="15.6" x14ac:dyDescent="0.3">
      <c r="A109" s="237">
        <v>32410</v>
      </c>
      <c r="B109" s="209" t="s">
        <v>680</v>
      </c>
      <c r="C109" s="239">
        <v>-2179249</v>
      </c>
      <c r="D109" s="240">
        <v>-1032329</v>
      </c>
      <c r="E109" s="240">
        <v>-1244186</v>
      </c>
      <c r="F109" s="240">
        <v>-549965</v>
      </c>
      <c r="G109" s="240">
        <v>0</v>
      </c>
      <c r="H109" s="240">
        <v>0</v>
      </c>
    </row>
    <row r="110" spans="1:8" ht="15.6" x14ac:dyDescent="0.3">
      <c r="A110" s="237">
        <v>32500</v>
      </c>
      <c r="B110" s="209" t="s">
        <v>681</v>
      </c>
      <c r="C110" s="239">
        <v>-14296229</v>
      </c>
      <c r="D110" s="240">
        <v>-8839685</v>
      </c>
      <c r="E110" s="240">
        <v>-10326280</v>
      </c>
      <c r="F110" s="240">
        <v>-6447622</v>
      </c>
      <c r="G110" s="240">
        <v>0</v>
      </c>
      <c r="H110" s="240">
        <v>0</v>
      </c>
    </row>
    <row r="111" spans="1:8" ht="15.6" x14ac:dyDescent="0.3">
      <c r="A111" s="237">
        <v>32505</v>
      </c>
      <c r="B111" s="209" t="s">
        <v>682</v>
      </c>
      <c r="C111" s="239">
        <v>-1645833</v>
      </c>
      <c r="D111" s="240">
        <v>-1435528</v>
      </c>
      <c r="E111" s="240">
        <v>-1244061</v>
      </c>
      <c r="F111" s="240">
        <v>-569867</v>
      </c>
      <c r="G111" s="240">
        <v>0</v>
      </c>
      <c r="H111" s="240">
        <v>0</v>
      </c>
    </row>
    <row r="112" spans="1:8" ht="15.6" x14ac:dyDescent="0.3">
      <c r="A112" s="237">
        <v>32600</v>
      </c>
      <c r="B112" s="209" t="s">
        <v>683</v>
      </c>
      <c r="C112" s="239">
        <v>-46847320</v>
      </c>
      <c r="D112" s="240">
        <v>-26686471</v>
      </c>
      <c r="E112" s="240">
        <v>-32732026</v>
      </c>
      <c r="F112" s="240">
        <v>-13350411</v>
      </c>
      <c r="G112" s="240">
        <v>0</v>
      </c>
      <c r="H112" s="240">
        <v>0</v>
      </c>
    </row>
    <row r="113" spans="1:8" ht="15.6" x14ac:dyDescent="0.3">
      <c r="A113" s="237">
        <v>32605</v>
      </c>
      <c r="B113" s="209" t="s">
        <v>684</v>
      </c>
      <c r="C113" s="239">
        <v>-5118235</v>
      </c>
      <c r="D113" s="240">
        <v>-3237489</v>
      </c>
      <c r="E113" s="240">
        <v>-3936619</v>
      </c>
      <c r="F113" s="240">
        <v>-2086663</v>
      </c>
      <c r="G113" s="240">
        <v>0</v>
      </c>
      <c r="H113" s="240">
        <v>0</v>
      </c>
    </row>
    <row r="114" spans="1:8" ht="15.6" x14ac:dyDescent="0.3">
      <c r="A114" s="237">
        <v>32700</v>
      </c>
      <c r="B114" s="209" t="s">
        <v>685</v>
      </c>
      <c r="C114" s="239">
        <v>-4194398</v>
      </c>
      <c r="D114" s="240">
        <v>-2477268</v>
      </c>
      <c r="E114" s="240">
        <v>-2761745</v>
      </c>
      <c r="F114" s="240">
        <v>-1536103</v>
      </c>
      <c r="G114" s="240">
        <v>0</v>
      </c>
      <c r="H114" s="240">
        <v>0</v>
      </c>
    </row>
    <row r="115" spans="1:8" ht="15.6" x14ac:dyDescent="0.3">
      <c r="A115" s="237">
        <v>32800</v>
      </c>
      <c r="B115" s="209" t="s">
        <v>686</v>
      </c>
      <c r="C115" s="239">
        <v>-5086555</v>
      </c>
      <c r="D115" s="240">
        <v>-3491485</v>
      </c>
      <c r="E115" s="240">
        <v>-4326800</v>
      </c>
      <c r="F115" s="240">
        <v>-2723110</v>
      </c>
      <c r="G115" s="240">
        <v>0</v>
      </c>
      <c r="H115" s="240">
        <v>0</v>
      </c>
    </row>
    <row r="116" spans="1:8" ht="15.6" x14ac:dyDescent="0.3">
      <c r="A116" s="237">
        <v>32900</v>
      </c>
      <c r="B116" s="209" t="s">
        <v>687</v>
      </c>
      <c r="C116" s="239">
        <v>-20358085</v>
      </c>
      <c r="D116" s="240">
        <v>-13449134</v>
      </c>
      <c r="E116" s="240">
        <v>-13198382</v>
      </c>
      <c r="F116" s="240">
        <v>-7826043</v>
      </c>
      <c r="G116" s="240">
        <v>0</v>
      </c>
      <c r="H116" s="240">
        <v>0</v>
      </c>
    </row>
    <row r="117" spans="1:8" ht="15.6" x14ac:dyDescent="0.3">
      <c r="A117" s="237">
        <v>32901</v>
      </c>
      <c r="B117" s="209" t="s">
        <v>688</v>
      </c>
      <c r="C117" s="239">
        <v>-645483</v>
      </c>
      <c r="D117" s="240">
        <v>-506026</v>
      </c>
      <c r="E117" s="240">
        <v>-312262</v>
      </c>
      <c r="F117" s="240">
        <v>-224789</v>
      </c>
      <c r="G117" s="240">
        <v>0</v>
      </c>
      <c r="H117" s="240">
        <v>0</v>
      </c>
    </row>
    <row r="118" spans="1:8" ht="15.6" x14ac:dyDescent="0.3">
      <c r="A118" s="237">
        <v>32904</v>
      </c>
      <c r="B118" s="209" t="s">
        <v>689</v>
      </c>
      <c r="C118" s="239">
        <v>209361</v>
      </c>
      <c r="D118" s="240">
        <v>263478</v>
      </c>
      <c r="E118" s="240">
        <v>248358</v>
      </c>
      <c r="F118" s="240">
        <v>112926</v>
      </c>
      <c r="G118" s="240">
        <v>0</v>
      </c>
      <c r="H118" s="240">
        <v>0</v>
      </c>
    </row>
    <row r="119" spans="1:8" ht="15.6" x14ac:dyDescent="0.3">
      <c r="A119" s="237">
        <v>32905</v>
      </c>
      <c r="B119" s="209" t="s">
        <v>690</v>
      </c>
      <c r="C119" s="239">
        <v>-2404277</v>
      </c>
      <c r="D119" s="240">
        <v>-1703967</v>
      </c>
      <c r="E119" s="240">
        <v>-1514972</v>
      </c>
      <c r="F119" s="240">
        <v>-819192</v>
      </c>
      <c r="G119" s="240">
        <v>0</v>
      </c>
      <c r="H119" s="240">
        <v>0</v>
      </c>
    </row>
    <row r="120" spans="1:8" ht="15.6" x14ac:dyDescent="0.3">
      <c r="A120" s="237">
        <v>32910</v>
      </c>
      <c r="B120" s="209" t="s">
        <v>691</v>
      </c>
      <c r="C120" s="239">
        <v>-3609415</v>
      </c>
      <c r="D120" s="240">
        <v>-2285218</v>
      </c>
      <c r="E120" s="240">
        <v>-2741706</v>
      </c>
      <c r="F120" s="240">
        <v>-1275472</v>
      </c>
      <c r="G120" s="240">
        <v>0</v>
      </c>
      <c r="H120" s="240">
        <v>0</v>
      </c>
    </row>
    <row r="121" spans="1:8" ht="15.6" x14ac:dyDescent="0.3">
      <c r="A121" s="237">
        <v>32915</v>
      </c>
      <c r="B121" s="209" t="s">
        <v>692</v>
      </c>
      <c r="C121" s="239">
        <v>318168</v>
      </c>
      <c r="D121" s="240">
        <v>406878</v>
      </c>
      <c r="E121" s="240">
        <v>382093</v>
      </c>
      <c r="F121" s="240">
        <v>461537</v>
      </c>
      <c r="G121" s="240">
        <v>0</v>
      </c>
      <c r="H121" s="240">
        <v>0</v>
      </c>
    </row>
    <row r="122" spans="1:8" ht="15.6" x14ac:dyDescent="0.3">
      <c r="A122" s="237">
        <v>32920</v>
      </c>
      <c r="B122" s="209" t="s">
        <v>693</v>
      </c>
      <c r="C122" s="239">
        <v>-3252723</v>
      </c>
      <c r="D122" s="240">
        <v>-2444451</v>
      </c>
      <c r="E122" s="240">
        <v>-2497499</v>
      </c>
      <c r="F122" s="240">
        <v>-1839546</v>
      </c>
      <c r="G122" s="240">
        <v>0</v>
      </c>
      <c r="H122" s="240">
        <v>0</v>
      </c>
    </row>
    <row r="123" spans="1:8" ht="15.6" x14ac:dyDescent="0.3">
      <c r="A123" s="237">
        <v>33000</v>
      </c>
      <c r="B123" s="209" t="s">
        <v>694</v>
      </c>
      <c r="C123" s="239">
        <v>-7785882</v>
      </c>
      <c r="D123" s="240">
        <v>-5327954</v>
      </c>
      <c r="E123" s="240">
        <v>-5522078</v>
      </c>
      <c r="F123" s="240">
        <v>-3334209</v>
      </c>
      <c r="G123" s="240">
        <v>0</v>
      </c>
      <c r="H123" s="240">
        <v>0</v>
      </c>
    </row>
    <row r="124" spans="1:8" ht="15.6" x14ac:dyDescent="0.3">
      <c r="A124" s="237">
        <v>33001</v>
      </c>
      <c r="B124" s="209" t="s">
        <v>695</v>
      </c>
      <c r="C124" s="239">
        <v>-265422</v>
      </c>
      <c r="D124" s="240">
        <v>-182033</v>
      </c>
      <c r="E124" s="240">
        <v>-118138</v>
      </c>
      <c r="F124" s="240">
        <v>-42008</v>
      </c>
      <c r="G124" s="240">
        <v>0</v>
      </c>
      <c r="H124" s="240">
        <v>0</v>
      </c>
    </row>
    <row r="125" spans="1:8" ht="15.6" x14ac:dyDescent="0.3">
      <c r="A125" s="237">
        <v>33027</v>
      </c>
      <c r="B125" s="209" t="s">
        <v>696</v>
      </c>
      <c r="C125" s="239">
        <v>-538368</v>
      </c>
      <c r="D125" s="240">
        <v>-269556</v>
      </c>
      <c r="E125" s="240">
        <v>-505613</v>
      </c>
      <c r="F125" s="240">
        <v>-283230</v>
      </c>
      <c r="G125" s="240">
        <v>0</v>
      </c>
      <c r="H125" s="240">
        <v>0</v>
      </c>
    </row>
    <row r="126" spans="1:8" ht="15.6" x14ac:dyDescent="0.3">
      <c r="A126" s="237">
        <v>33100</v>
      </c>
      <c r="B126" s="209" t="s">
        <v>697</v>
      </c>
      <c r="C126" s="239">
        <v>-11379544</v>
      </c>
      <c r="D126" s="240">
        <v>-7229055</v>
      </c>
      <c r="E126" s="240">
        <v>-7060393</v>
      </c>
      <c r="F126" s="240">
        <v>-4032317</v>
      </c>
      <c r="G126" s="240">
        <v>0</v>
      </c>
      <c r="H126" s="240">
        <v>0</v>
      </c>
    </row>
    <row r="127" spans="1:8" ht="15.6" x14ac:dyDescent="0.3">
      <c r="A127" s="237">
        <v>33105</v>
      </c>
      <c r="B127" s="209" t="s">
        <v>698</v>
      </c>
      <c r="C127" s="239">
        <v>-1012919</v>
      </c>
      <c r="D127" s="240">
        <v>-649084</v>
      </c>
      <c r="E127" s="240">
        <v>-580581</v>
      </c>
      <c r="F127" s="240">
        <v>-283071</v>
      </c>
      <c r="G127" s="240">
        <v>0</v>
      </c>
      <c r="H127" s="240">
        <v>0</v>
      </c>
    </row>
    <row r="128" spans="1:8" ht="15.6" x14ac:dyDescent="0.3">
      <c r="A128" s="237">
        <v>33200</v>
      </c>
      <c r="B128" s="209" t="s">
        <v>699</v>
      </c>
      <c r="C128" s="239">
        <v>-45272052</v>
      </c>
      <c r="D128" s="240">
        <v>-25845459</v>
      </c>
      <c r="E128" s="240">
        <v>-30681275</v>
      </c>
      <c r="F128" s="240">
        <v>-20268452</v>
      </c>
      <c r="G128" s="240">
        <v>0</v>
      </c>
      <c r="H128" s="240">
        <v>0</v>
      </c>
    </row>
    <row r="129" spans="1:8" ht="15.6" x14ac:dyDescent="0.3">
      <c r="A129" s="237">
        <v>33202</v>
      </c>
      <c r="B129" s="209" t="s">
        <v>700</v>
      </c>
      <c r="C129" s="239">
        <v>-466298</v>
      </c>
      <c r="D129" s="240">
        <v>-358322</v>
      </c>
      <c r="E129" s="240">
        <v>-391180</v>
      </c>
      <c r="F129" s="240">
        <v>-355330</v>
      </c>
      <c r="G129" s="240">
        <v>0</v>
      </c>
      <c r="H129" s="240">
        <v>0</v>
      </c>
    </row>
    <row r="130" spans="1:8" ht="15.6" x14ac:dyDescent="0.3">
      <c r="A130" s="237">
        <v>33203</v>
      </c>
      <c r="B130" s="209" t="s">
        <v>701</v>
      </c>
      <c r="C130" s="239">
        <v>-198616</v>
      </c>
      <c r="D130" s="240">
        <v>48571</v>
      </c>
      <c r="E130" s="240">
        <v>-9365</v>
      </c>
      <c r="F130" s="240">
        <v>-17174</v>
      </c>
      <c r="G130" s="240">
        <v>0</v>
      </c>
      <c r="H130" s="240">
        <v>0</v>
      </c>
    </row>
    <row r="131" spans="1:8" ht="15.6" x14ac:dyDescent="0.3">
      <c r="A131" s="237">
        <v>33204</v>
      </c>
      <c r="B131" s="209" t="s">
        <v>702</v>
      </c>
      <c r="C131" s="239">
        <v>-1531135</v>
      </c>
      <c r="D131" s="240">
        <v>-671868</v>
      </c>
      <c r="E131" s="240">
        <v>-877449</v>
      </c>
      <c r="F131" s="240">
        <v>-486966</v>
      </c>
      <c r="G131" s="240">
        <v>0</v>
      </c>
      <c r="H131" s="240">
        <v>0</v>
      </c>
    </row>
    <row r="132" spans="1:8" ht="15.6" x14ac:dyDescent="0.3">
      <c r="A132" s="237">
        <v>33205</v>
      </c>
      <c r="B132" s="209" t="s">
        <v>703</v>
      </c>
      <c r="C132" s="239">
        <v>-3014058</v>
      </c>
      <c r="D132" s="240">
        <v>-1941512</v>
      </c>
      <c r="E132" s="240">
        <v>-1881418</v>
      </c>
      <c r="F132" s="240">
        <v>-507491</v>
      </c>
      <c r="G132" s="240">
        <v>0</v>
      </c>
      <c r="H132" s="240">
        <v>0</v>
      </c>
    </row>
    <row r="133" spans="1:8" ht="15.6" x14ac:dyDescent="0.3">
      <c r="A133" s="237">
        <v>33206</v>
      </c>
      <c r="B133" s="209" t="s">
        <v>704</v>
      </c>
      <c r="C133" s="239">
        <v>-235692</v>
      </c>
      <c r="D133" s="240">
        <v>-164797</v>
      </c>
      <c r="E133" s="240">
        <v>-151265</v>
      </c>
      <c r="F133" s="240">
        <v>-45290</v>
      </c>
      <c r="G133" s="240">
        <v>0</v>
      </c>
      <c r="H133" s="240">
        <v>0</v>
      </c>
    </row>
    <row r="134" spans="1:8" ht="15.6" x14ac:dyDescent="0.3">
      <c r="A134" s="237">
        <v>33207</v>
      </c>
      <c r="B134" s="209" t="s">
        <v>705</v>
      </c>
      <c r="C134" s="239">
        <v>-144635</v>
      </c>
      <c r="D134" s="240">
        <v>176683</v>
      </c>
      <c r="E134" s="240">
        <v>-276999</v>
      </c>
      <c r="F134" s="240">
        <v>-256071</v>
      </c>
      <c r="G134" s="240">
        <v>0</v>
      </c>
      <c r="H134" s="240">
        <v>0</v>
      </c>
    </row>
    <row r="135" spans="1:8" ht="15.6" x14ac:dyDescent="0.3">
      <c r="A135" s="237">
        <v>33208</v>
      </c>
      <c r="B135" s="209" t="s">
        <v>706</v>
      </c>
      <c r="C135" s="239">
        <v>-201200</v>
      </c>
      <c r="D135" s="240">
        <v>0</v>
      </c>
      <c r="E135" s="240">
        <v>0</v>
      </c>
      <c r="F135" s="240">
        <v>0</v>
      </c>
      <c r="G135" s="240">
        <v>0</v>
      </c>
      <c r="H135" s="240">
        <v>0</v>
      </c>
    </row>
    <row r="136" spans="1:8" ht="15.6" x14ac:dyDescent="0.3">
      <c r="A136" s="237">
        <v>33209</v>
      </c>
      <c r="B136" s="209" t="s">
        <v>707</v>
      </c>
      <c r="C136" s="239">
        <v>-477514</v>
      </c>
      <c r="D136" s="240">
        <v>-566072</v>
      </c>
      <c r="E136" s="240">
        <v>-704747</v>
      </c>
      <c r="F136" s="240">
        <v>-659905</v>
      </c>
      <c r="G136" s="240">
        <v>0</v>
      </c>
      <c r="H136" s="240">
        <v>0</v>
      </c>
    </row>
    <row r="137" spans="1:8" ht="15.6" x14ac:dyDescent="0.3">
      <c r="A137" s="237">
        <v>33300</v>
      </c>
      <c r="B137" s="209" t="s">
        <v>708</v>
      </c>
      <c r="C137" s="239">
        <v>-6773998</v>
      </c>
      <c r="D137" s="240">
        <v>-4585859</v>
      </c>
      <c r="E137" s="240">
        <v>-4822376</v>
      </c>
      <c r="F137" s="240">
        <v>-3110378</v>
      </c>
      <c r="G137" s="240">
        <v>0</v>
      </c>
      <c r="H137" s="240">
        <v>0</v>
      </c>
    </row>
    <row r="138" spans="1:8" ht="15.6" x14ac:dyDescent="0.3">
      <c r="A138" s="237">
        <v>33305</v>
      </c>
      <c r="B138" s="209" t="s">
        <v>709</v>
      </c>
      <c r="C138" s="239">
        <v>-1928892</v>
      </c>
      <c r="D138" s="240">
        <v>-1487098</v>
      </c>
      <c r="E138" s="240">
        <v>-1404401</v>
      </c>
      <c r="F138" s="240">
        <v>-809933</v>
      </c>
      <c r="G138" s="240">
        <v>0</v>
      </c>
      <c r="H138" s="240">
        <v>0</v>
      </c>
    </row>
    <row r="139" spans="1:8" ht="15.6" x14ac:dyDescent="0.3">
      <c r="A139" s="237">
        <v>33400</v>
      </c>
      <c r="B139" s="209" t="s">
        <v>710</v>
      </c>
      <c r="C139" s="239">
        <v>-57522174</v>
      </c>
      <c r="D139" s="240">
        <v>-36064956</v>
      </c>
      <c r="E139" s="240">
        <v>-39071862</v>
      </c>
      <c r="F139" s="240">
        <v>-20293735</v>
      </c>
      <c r="G139" s="240">
        <v>0</v>
      </c>
      <c r="H139" s="240">
        <v>0</v>
      </c>
    </row>
    <row r="140" spans="1:8" ht="15.6" x14ac:dyDescent="0.3">
      <c r="A140" s="237">
        <v>33402</v>
      </c>
      <c r="B140" s="209" t="s">
        <v>711</v>
      </c>
      <c r="C140" s="239">
        <v>-391699</v>
      </c>
      <c r="D140" s="240">
        <v>-254591</v>
      </c>
      <c r="E140" s="240">
        <v>-240634</v>
      </c>
      <c r="F140" s="240">
        <v>-193715</v>
      </c>
      <c r="G140" s="240">
        <v>0</v>
      </c>
      <c r="H140" s="240">
        <v>0</v>
      </c>
    </row>
    <row r="141" spans="1:8" ht="15.6" x14ac:dyDescent="0.3">
      <c r="A141" s="237">
        <v>33405</v>
      </c>
      <c r="B141" s="209" t="s">
        <v>712</v>
      </c>
      <c r="C141" s="239">
        <v>-5111043</v>
      </c>
      <c r="D141" s="240">
        <v>-2966539</v>
      </c>
      <c r="E141" s="240">
        <v>-3096828</v>
      </c>
      <c r="F141" s="240">
        <v>-1451790</v>
      </c>
      <c r="G141" s="240">
        <v>0</v>
      </c>
      <c r="H141" s="240">
        <v>0</v>
      </c>
    </row>
    <row r="142" spans="1:8" ht="15.6" x14ac:dyDescent="0.3">
      <c r="A142" s="237">
        <v>33500</v>
      </c>
      <c r="B142" s="209" t="s">
        <v>713</v>
      </c>
      <c r="C142" s="239">
        <v>-10303333</v>
      </c>
      <c r="D142" s="240">
        <v>-6281011</v>
      </c>
      <c r="E142" s="240">
        <v>-6443053</v>
      </c>
      <c r="F142" s="240">
        <v>-4095010</v>
      </c>
      <c r="G142" s="240">
        <v>0</v>
      </c>
      <c r="H142" s="240">
        <v>0</v>
      </c>
    </row>
    <row r="143" spans="1:8" ht="31.2" x14ac:dyDescent="0.3">
      <c r="A143" s="237">
        <v>33501</v>
      </c>
      <c r="B143" s="209" t="s">
        <v>714</v>
      </c>
      <c r="C143" s="239">
        <v>-102045</v>
      </c>
      <c r="D143" s="240">
        <v>42407</v>
      </c>
      <c r="E143" s="240">
        <v>-949</v>
      </c>
      <c r="F143" s="240">
        <v>3271</v>
      </c>
      <c r="G143" s="240">
        <v>0</v>
      </c>
      <c r="H143" s="240">
        <v>0</v>
      </c>
    </row>
    <row r="144" spans="1:8" ht="15.6" x14ac:dyDescent="0.3">
      <c r="A144" s="237">
        <v>33600</v>
      </c>
      <c r="B144" s="209" t="s">
        <v>715</v>
      </c>
      <c r="C144" s="239">
        <v>-31656822</v>
      </c>
      <c r="D144" s="240">
        <v>-21244729</v>
      </c>
      <c r="E144" s="240">
        <v>-22633676</v>
      </c>
      <c r="F144" s="240">
        <v>-12324449</v>
      </c>
      <c r="G144" s="240">
        <v>0</v>
      </c>
      <c r="H144" s="240">
        <v>0</v>
      </c>
    </row>
    <row r="145" spans="1:8" ht="15.6" x14ac:dyDescent="0.3">
      <c r="A145" s="237">
        <v>33605</v>
      </c>
      <c r="B145" s="209" t="s">
        <v>716</v>
      </c>
      <c r="C145" s="239">
        <v>-4241667</v>
      </c>
      <c r="D145" s="240">
        <v>-2985944</v>
      </c>
      <c r="E145" s="240">
        <v>-2843176</v>
      </c>
      <c r="F145" s="240">
        <v>-1320550</v>
      </c>
      <c r="G145" s="240">
        <v>0</v>
      </c>
      <c r="H145" s="240">
        <v>0</v>
      </c>
    </row>
    <row r="146" spans="1:8" ht="15.6" x14ac:dyDescent="0.3">
      <c r="A146" s="237">
        <v>33700</v>
      </c>
      <c r="B146" s="209" t="s">
        <v>717</v>
      </c>
      <c r="C146" s="239">
        <v>-2004512</v>
      </c>
      <c r="D146" s="240">
        <v>-1164125</v>
      </c>
      <c r="E146" s="240">
        <v>-1240197</v>
      </c>
      <c r="F146" s="240">
        <v>-696318</v>
      </c>
      <c r="G146" s="240">
        <v>0</v>
      </c>
      <c r="H146" s="240">
        <v>0</v>
      </c>
    </row>
    <row r="147" spans="1:8" ht="15.6" x14ac:dyDescent="0.3">
      <c r="A147" s="237">
        <v>33800</v>
      </c>
      <c r="B147" s="209" t="s">
        <v>718</v>
      </c>
      <c r="C147" s="239">
        <v>-1734527</v>
      </c>
      <c r="D147" s="240">
        <v>-1017485</v>
      </c>
      <c r="E147" s="240">
        <v>-1010129</v>
      </c>
      <c r="F147" s="240">
        <v>-599970</v>
      </c>
      <c r="G147" s="240">
        <v>0</v>
      </c>
      <c r="H147" s="240">
        <v>0</v>
      </c>
    </row>
    <row r="148" spans="1:8" ht="31.2" x14ac:dyDescent="0.3">
      <c r="A148" s="237">
        <v>33900</v>
      </c>
      <c r="B148" s="209" t="s">
        <v>719</v>
      </c>
      <c r="C148" s="239">
        <v>-9880150</v>
      </c>
      <c r="D148" s="240">
        <v>-6763704</v>
      </c>
      <c r="E148" s="240">
        <v>-6298098</v>
      </c>
      <c r="F148" s="240">
        <v>-4055006</v>
      </c>
      <c r="G148" s="240">
        <v>0</v>
      </c>
      <c r="H148" s="240">
        <v>0</v>
      </c>
    </row>
    <row r="149" spans="1:8" ht="15.6" x14ac:dyDescent="0.3">
      <c r="A149" s="237">
        <v>34000</v>
      </c>
      <c r="B149" s="209" t="s">
        <v>720</v>
      </c>
      <c r="C149" s="239">
        <v>-4005212</v>
      </c>
      <c r="D149" s="240">
        <v>-2550420</v>
      </c>
      <c r="E149" s="240">
        <v>-2373817</v>
      </c>
      <c r="F149" s="240">
        <v>-1474759</v>
      </c>
      <c r="G149" s="240">
        <v>0</v>
      </c>
      <c r="H149" s="240">
        <v>0</v>
      </c>
    </row>
    <row r="150" spans="1:8" ht="15.6" x14ac:dyDescent="0.3">
      <c r="A150" s="237">
        <v>34100</v>
      </c>
      <c r="B150" s="209" t="s">
        <v>721</v>
      </c>
      <c r="C150" s="239">
        <v>-91691553</v>
      </c>
      <c r="D150" s="240">
        <v>-59372293</v>
      </c>
      <c r="E150" s="240">
        <v>-63689009</v>
      </c>
      <c r="F150" s="240">
        <v>-37840582</v>
      </c>
      <c r="G150" s="240">
        <v>0</v>
      </c>
      <c r="H150" s="240">
        <v>0</v>
      </c>
    </row>
    <row r="151" spans="1:8" ht="15.6" x14ac:dyDescent="0.3">
      <c r="A151" s="237">
        <v>34105</v>
      </c>
      <c r="B151" s="209" t="s">
        <v>722</v>
      </c>
      <c r="C151" s="239">
        <v>-7482127</v>
      </c>
      <c r="D151" s="240">
        <v>-5175698</v>
      </c>
      <c r="E151" s="240">
        <v>-4825259</v>
      </c>
      <c r="F151" s="240">
        <v>-2613243</v>
      </c>
      <c r="G151" s="240">
        <v>0</v>
      </c>
      <c r="H151" s="240">
        <v>0</v>
      </c>
    </row>
    <row r="152" spans="1:8" ht="15.6" x14ac:dyDescent="0.3">
      <c r="A152" s="237">
        <v>34200</v>
      </c>
      <c r="B152" s="209" t="s">
        <v>723</v>
      </c>
      <c r="C152" s="239">
        <v>-2916365</v>
      </c>
      <c r="D152" s="240">
        <v>-1813707</v>
      </c>
      <c r="E152" s="240">
        <v>-2327478</v>
      </c>
      <c r="F152" s="240">
        <v>-1206868</v>
      </c>
      <c r="G152" s="240">
        <v>0</v>
      </c>
      <c r="H152" s="240">
        <v>0</v>
      </c>
    </row>
    <row r="153" spans="1:8" ht="15.6" x14ac:dyDescent="0.3">
      <c r="A153" s="237">
        <v>34205</v>
      </c>
      <c r="B153" s="209" t="s">
        <v>724</v>
      </c>
      <c r="C153" s="239">
        <v>-1322318</v>
      </c>
      <c r="D153" s="240">
        <v>-948948</v>
      </c>
      <c r="E153" s="240">
        <v>-895627</v>
      </c>
      <c r="F153" s="240">
        <v>-363425</v>
      </c>
      <c r="G153" s="240">
        <v>0</v>
      </c>
      <c r="H153" s="240">
        <v>0</v>
      </c>
    </row>
    <row r="154" spans="1:8" ht="15.6" x14ac:dyDescent="0.3">
      <c r="A154" s="237">
        <v>34220</v>
      </c>
      <c r="B154" s="209" t="s">
        <v>725</v>
      </c>
      <c r="C154" s="239">
        <v>-3189521</v>
      </c>
      <c r="D154" s="240">
        <v>-2391704</v>
      </c>
      <c r="E154" s="240">
        <v>-2312930</v>
      </c>
      <c r="F154" s="240">
        <v>-1345761</v>
      </c>
      <c r="G154" s="240">
        <v>0</v>
      </c>
      <c r="H154" s="240">
        <v>0</v>
      </c>
    </row>
    <row r="155" spans="1:8" ht="15.6" x14ac:dyDescent="0.3">
      <c r="A155" s="237">
        <v>34230</v>
      </c>
      <c r="B155" s="209" t="s">
        <v>726</v>
      </c>
      <c r="C155" s="239">
        <v>-1706767</v>
      </c>
      <c r="D155" s="240">
        <v>-1067342</v>
      </c>
      <c r="E155" s="240">
        <v>-785252</v>
      </c>
      <c r="F155" s="240">
        <v>-460429</v>
      </c>
      <c r="G155" s="240">
        <v>0</v>
      </c>
      <c r="H155" s="240">
        <v>0</v>
      </c>
    </row>
    <row r="156" spans="1:8" ht="15.6" x14ac:dyDescent="0.3">
      <c r="A156" s="237">
        <v>34300</v>
      </c>
      <c r="B156" s="209" t="s">
        <v>727</v>
      </c>
      <c r="C156" s="239">
        <v>-22485493</v>
      </c>
      <c r="D156" s="240">
        <v>-15326324</v>
      </c>
      <c r="E156" s="240">
        <v>-15982053</v>
      </c>
      <c r="F156" s="240">
        <v>-10212288</v>
      </c>
      <c r="G156" s="240">
        <v>0</v>
      </c>
      <c r="H156" s="240">
        <v>0</v>
      </c>
    </row>
    <row r="157" spans="1:8" ht="15.6" x14ac:dyDescent="0.3">
      <c r="A157" s="237">
        <v>34400</v>
      </c>
      <c r="B157" s="209" t="s">
        <v>728</v>
      </c>
      <c r="C157" s="239">
        <v>-8144858</v>
      </c>
      <c r="D157" s="240">
        <v>-4650355</v>
      </c>
      <c r="E157" s="240">
        <v>-5259436</v>
      </c>
      <c r="F157" s="240">
        <v>-3262273</v>
      </c>
      <c r="G157" s="240">
        <v>0</v>
      </c>
      <c r="H157" s="240">
        <v>0</v>
      </c>
    </row>
    <row r="158" spans="1:8" ht="15.6" x14ac:dyDescent="0.3">
      <c r="A158" s="237">
        <v>34405</v>
      </c>
      <c r="B158" s="209" t="s">
        <v>729</v>
      </c>
      <c r="C158" s="239">
        <v>-1687201</v>
      </c>
      <c r="D158" s="240">
        <v>-1224261</v>
      </c>
      <c r="E158" s="240">
        <v>-1333457</v>
      </c>
      <c r="F158" s="240">
        <v>-601818</v>
      </c>
      <c r="G158" s="240">
        <v>0</v>
      </c>
      <c r="H158" s="240">
        <v>0</v>
      </c>
    </row>
    <row r="159" spans="1:8" ht="15.6" x14ac:dyDescent="0.3">
      <c r="A159" s="237">
        <v>34500</v>
      </c>
      <c r="B159" s="209" t="s">
        <v>730</v>
      </c>
      <c r="C159" s="239">
        <v>-13953581</v>
      </c>
      <c r="D159" s="240">
        <v>-8939062</v>
      </c>
      <c r="E159" s="240">
        <v>-10033202</v>
      </c>
      <c r="F159" s="240">
        <v>-5611376</v>
      </c>
      <c r="G159" s="240">
        <v>0</v>
      </c>
      <c r="H159" s="240">
        <v>0</v>
      </c>
    </row>
    <row r="160" spans="1:8" ht="15.6" x14ac:dyDescent="0.3">
      <c r="A160" s="237">
        <v>34501</v>
      </c>
      <c r="B160" s="209" t="s">
        <v>731</v>
      </c>
      <c r="C160" s="239">
        <v>-157268</v>
      </c>
      <c r="D160" s="240">
        <v>-137659</v>
      </c>
      <c r="E160" s="240">
        <v>-142549</v>
      </c>
      <c r="F160" s="240">
        <v>-91019</v>
      </c>
      <c r="G160" s="240">
        <v>0</v>
      </c>
      <c r="H160" s="240">
        <v>0</v>
      </c>
    </row>
    <row r="161" spans="1:8" ht="15.6" x14ac:dyDescent="0.3">
      <c r="A161" s="237">
        <v>34505</v>
      </c>
      <c r="B161" s="209" t="s">
        <v>732</v>
      </c>
      <c r="C161" s="239">
        <v>-1305076</v>
      </c>
      <c r="D161" s="240">
        <v>-1037114</v>
      </c>
      <c r="E161" s="240">
        <v>-1058155</v>
      </c>
      <c r="F161" s="240">
        <v>-617651</v>
      </c>
      <c r="G161" s="240">
        <v>0</v>
      </c>
      <c r="H161" s="240">
        <v>0</v>
      </c>
    </row>
    <row r="162" spans="1:8" ht="15.6" x14ac:dyDescent="0.3">
      <c r="A162" s="237">
        <v>34600</v>
      </c>
      <c r="B162" s="209" t="s">
        <v>733</v>
      </c>
      <c r="C162" s="239">
        <v>-3641739</v>
      </c>
      <c r="D162" s="240">
        <v>-2465231</v>
      </c>
      <c r="E162" s="240">
        <v>-2355692</v>
      </c>
      <c r="F162" s="240">
        <v>-1392159</v>
      </c>
      <c r="G162" s="240">
        <v>0</v>
      </c>
      <c r="H162" s="240">
        <v>0</v>
      </c>
    </row>
    <row r="163" spans="1:8" ht="15.6" x14ac:dyDescent="0.3">
      <c r="A163" s="237">
        <v>34605</v>
      </c>
      <c r="B163" s="209" t="s">
        <v>734</v>
      </c>
      <c r="C163" s="239">
        <v>-932595</v>
      </c>
      <c r="D163" s="240">
        <v>-650161</v>
      </c>
      <c r="E163" s="240">
        <v>-528876</v>
      </c>
      <c r="F163" s="240">
        <v>-163695</v>
      </c>
      <c r="G163" s="240">
        <v>0</v>
      </c>
      <c r="H163" s="240">
        <v>0</v>
      </c>
    </row>
    <row r="164" spans="1:8" ht="15.6" x14ac:dyDescent="0.3">
      <c r="A164" s="237">
        <v>34700</v>
      </c>
      <c r="B164" s="209" t="s">
        <v>735</v>
      </c>
      <c r="C164" s="239">
        <v>-9136112</v>
      </c>
      <c r="D164" s="240">
        <v>-5874573</v>
      </c>
      <c r="E164" s="240">
        <v>-6524833</v>
      </c>
      <c r="F164" s="240">
        <v>-4124522</v>
      </c>
      <c r="G164" s="240">
        <v>0</v>
      </c>
      <c r="H164" s="240">
        <v>0</v>
      </c>
    </row>
    <row r="165" spans="1:8" ht="15.6" x14ac:dyDescent="0.3">
      <c r="A165" s="237">
        <v>34800</v>
      </c>
      <c r="B165" s="209" t="s">
        <v>736</v>
      </c>
      <c r="C165" s="239">
        <v>-1107547</v>
      </c>
      <c r="D165" s="240">
        <v>-814040</v>
      </c>
      <c r="E165" s="240">
        <v>-759957</v>
      </c>
      <c r="F165" s="240">
        <v>-384522</v>
      </c>
      <c r="G165" s="240">
        <v>0</v>
      </c>
      <c r="H165" s="240">
        <v>0</v>
      </c>
    </row>
    <row r="166" spans="1:8" ht="15.6" x14ac:dyDescent="0.3">
      <c r="A166" s="237">
        <v>34900</v>
      </c>
      <c r="B166" s="209" t="s">
        <v>737</v>
      </c>
      <c r="C166" s="239">
        <v>-20851895</v>
      </c>
      <c r="D166" s="240">
        <v>-12742931</v>
      </c>
      <c r="E166" s="240">
        <v>-13426660</v>
      </c>
      <c r="F166" s="240">
        <v>-6861945</v>
      </c>
      <c r="G166" s="240">
        <v>0</v>
      </c>
      <c r="H166" s="240">
        <v>0</v>
      </c>
    </row>
    <row r="167" spans="1:8" ht="15.6" x14ac:dyDescent="0.3">
      <c r="A167" s="237">
        <v>34901</v>
      </c>
      <c r="B167" s="209" t="s">
        <v>738</v>
      </c>
      <c r="C167" s="239">
        <v>-544475</v>
      </c>
      <c r="D167" s="240">
        <v>-311351</v>
      </c>
      <c r="E167" s="240">
        <v>-358005</v>
      </c>
      <c r="F167" s="240">
        <v>-210153</v>
      </c>
      <c r="G167" s="240">
        <v>0</v>
      </c>
      <c r="H167" s="240">
        <v>0</v>
      </c>
    </row>
    <row r="168" spans="1:8" ht="15.6" x14ac:dyDescent="0.3">
      <c r="A168" s="237">
        <v>34903</v>
      </c>
      <c r="B168" s="209" t="s">
        <v>739</v>
      </c>
      <c r="C168" s="239">
        <v>-11762</v>
      </c>
      <c r="D168" s="240">
        <v>14329</v>
      </c>
      <c r="E168" s="240">
        <v>26799</v>
      </c>
      <c r="F168" s="240">
        <v>22734</v>
      </c>
      <c r="G168" s="240">
        <v>0</v>
      </c>
      <c r="H168" s="240">
        <v>0</v>
      </c>
    </row>
    <row r="169" spans="1:8" ht="15.6" x14ac:dyDescent="0.3">
      <c r="A169" s="237">
        <v>34905</v>
      </c>
      <c r="B169" s="209" t="s">
        <v>740</v>
      </c>
      <c r="C169" s="239">
        <v>-1842485</v>
      </c>
      <c r="D169" s="240">
        <v>-1285952</v>
      </c>
      <c r="E169" s="240">
        <v>-1402939</v>
      </c>
      <c r="F169" s="240">
        <v>-910816</v>
      </c>
      <c r="G169" s="240">
        <v>0</v>
      </c>
      <c r="H169" s="240">
        <v>0</v>
      </c>
    </row>
    <row r="170" spans="1:8" ht="15.6" x14ac:dyDescent="0.3">
      <c r="A170" s="237">
        <v>34910</v>
      </c>
      <c r="B170" s="209" t="s">
        <v>741</v>
      </c>
      <c r="C170" s="239">
        <v>-6249929</v>
      </c>
      <c r="D170" s="240">
        <v>-3846978</v>
      </c>
      <c r="E170" s="240">
        <v>-4012367</v>
      </c>
      <c r="F170" s="240">
        <v>-2167746</v>
      </c>
      <c r="G170" s="240">
        <v>0</v>
      </c>
      <c r="H170" s="240">
        <v>0</v>
      </c>
    </row>
    <row r="171" spans="1:8" ht="15.6" x14ac:dyDescent="0.3">
      <c r="A171" s="237">
        <v>35000</v>
      </c>
      <c r="B171" s="209" t="s">
        <v>742</v>
      </c>
      <c r="C171" s="239">
        <v>-4323110</v>
      </c>
      <c r="D171" s="240">
        <v>-2775731</v>
      </c>
      <c r="E171" s="240">
        <v>-3173923</v>
      </c>
      <c r="F171" s="240">
        <v>-1876938</v>
      </c>
      <c r="G171" s="240">
        <v>0</v>
      </c>
      <c r="H171" s="240">
        <v>0</v>
      </c>
    </row>
    <row r="172" spans="1:8" ht="15.6" x14ac:dyDescent="0.3">
      <c r="A172" s="237">
        <v>35005</v>
      </c>
      <c r="B172" s="209" t="s">
        <v>743</v>
      </c>
      <c r="C172" s="239">
        <v>-1976650</v>
      </c>
      <c r="D172" s="240">
        <v>-1554837</v>
      </c>
      <c r="E172" s="240">
        <v>-1589683</v>
      </c>
      <c r="F172" s="240">
        <v>-758886</v>
      </c>
      <c r="G172" s="240">
        <v>0</v>
      </c>
      <c r="H172" s="240">
        <v>0</v>
      </c>
    </row>
    <row r="173" spans="1:8" ht="15.6" x14ac:dyDescent="0.3">
      <c r="A173" s="237">
        <v>35100</v>
      </c>
      <c r="B173" s="209" t="s">
        <v>744</v>
      </c>
      <c r="C173" s="239">
        <v>-36881297</v>
      </c>
      <c r="D173" s="240">
        <v>-24108064</v>
      </c>
      <c r="E173" s="240">
        <v>-27139497</v>
      </c>
      <c r="F173" s="240">
        <v>-16305442</v>
      </c>
      <c r="G173" s="240">
        <v>0</v>
      </c>
      <c r="H173" s="240">
        <v>0</v>
      </c>
    </row>
    <row r="174" spans="1:8" ht="15.6" x14ac:dyDescent="0.3">
      <c r="A174" s="237">
        <v>35105</v>
      </c>
      <c r="B174" s="209" t="s">
        <v>745</v>
      </c>
      <c r="C174" s="239">
        <v>-3114721</v>
      </c>
      <c r="D174" s="240">
        <v>-2296216</v>
      </c>
      <c r="E174" s="240">
        <v>-2565349</v>
      </c>
      <c r="F174" s="240">
        <v>-1703801</v>
      </c>
      <c r="G174" s="240">
        <v>0</v>
      </c>
      <c r="H174" s="240">
        <v>0</v>
      </c>
    </row>
    <row r="175" spans="1:8" ht="15.6" x14ac:dyDescent="0.3">
      <c r="A175" s="237">
        <v>35106</v>
      </c>
      <c r="B175" s="209" t="s">
        <v>746</v>
      </c>
      <c r="C175" s="239">
        <v>-940947</v>
      </c>
      <c r="D175" s="240">
        <v>-628187</v>
      </c>
      <c r="E175" s="240">
        <v>-603399</v>
      </c>
      <c r="F175" s="240">
        <v>-410448</v>
      </c>
      <c r="G175" s="240">
        <v>0</v>
      </c>
      <c r="H175" s="240">
        <v>0</v>
      </c>
    </row>
    <row r="176" spans="1:8" ht="15.6" x14ac:dyDescent="0.3">
      <c r="A176" s="237">
        <v>35200</v>
      </c>
      <c r="B176" s="209" t="s">
        <v>747</v>
      </c>
      <c r="C176" s="239">
        <v>-1618712</v>
      </c>
      <c r="D176" s="240">
        <v>-1064979</v>
      </c>
      <c r="E176" s="240">
        <v>-1045171</v>
      </c>
      <c r="F176" s="240">
        <v>-402714</v>
      </c>
      <c r="G176" s="240">
        <v>0</v>
      </c>
      <c r="H176" s="240">
        <v>0</v>
      </c>
    </row>
    <row r="177" spans="1:8" ht="15.6" x14ac:dyDescent="0.3">
      <c r="A177" s="237">
        <v>35300</v>
      </c>
      <c r="B177" s="209" t="s">
        <v>748</v>
      </c>
      <c r="C177" s="239">
        <v>-11839714</v>
      </c>
      <c r="D177" s="240">
        <v>-8664591</v>
      </c>
      <c r="E177" s="240">
        <v>-8379786</v>
      </c>
      <c r="F177" s="240">
        <v>-4478339</v>
      </c>
      <c r="G177" s="240">
        <v>0</v>
      </c>
      <c r="H177" s="240">
        <v>0</v>
      </c>
    </row>
    <row r="178" spans="1:8" ht="15.6" x14ac:dyDescent="0.3">
      <c r="A178" s="237">
        <v>35305</v>
      </c>
      <c r="B178" s="209" t="s">
        <v>749</v>
      </c>
      <c r="C178" s="239">
        <v>-3218488</v>
      </c>
      <c r="D178" s="240">
        <v>-2126207</v>
      </c>
      <c r="E178" s="240">
        <v>-2438956</v>
      </c>
      <c r="F178" s="240">
        <v>-1051884</v>
      </c>
      <c r="G178" s="240">
        <v>0</v>
      </c>
      <c r="H178" s="240">
        <v>0</v>
      </c>
    </row>
    <row r="179" spans="1:8" ht="15.6" x14ac:dyDescent="0.3">
      <c r="A179" s="237">
        <v>35400</v>
      </c>
      <c r="B179" s="209" t="s">
        <v>750</v>
      </c>
      <c r="C179" s="239">
        <v>-8373688</v>
      </c>
      <c r="D179" s="240">
        <v>-5193130</v>
      </c>
      <c r="E179" s="240">
        <v>-5550034</v>
      </c>
      <c r="F179" s="240">
        <v>-3345218</v>
      </c>
      <c r="G179" s="240">
        <v>0</v>
      </c>
      <c r="H179" s="240">
        <v>0</v>
      </c>
    </row>
    <row r="180" spans="1:8" ht="15.6" x14ac:dyDescent="0.3">
      <c r="A180" s="237">
        <v>35401</v>
      </c>
      <c r="B180" s="209" t="s">
        <v>751</v>
      </c>
      <c r="C180" s="239">
        <v>-79843</v>
      </c>
      <c r="D180" s="240">
        <v>-2005</v>
      </c>
      <c r="E180" s="240">
        <v>-8295</v>
      </c>
      <c r="F180" s="240">
        <v>41619</v>
      </c>
      <c r="G180" s="240">
        <v>0</v>
      </c>
      <c r="H180" s="240">
        <v>0</v>
      </c>
    </row>
    <row r="181" spans="1:8" ht="15.6" x14ac:dyDescent="0.3">
      <c r="A181" s="237">
        <v>35405</v>
      </c>
      <c r="B181" s="209" t="s">
        <v>752</v>
      </c>
      <c r="C181" s="239">
        <v>-3183092</v>
      </c>
      <c r="D181" s="240">
        <v>-2369836</v>
      </c>
      <c r="E181" s="240">
        <v>-2308783</v>
      </c>
      <c r="F181" s="240">
        <v>-1397209</v>
      </c>
      <c r="G181" s="240">
        <v>0</v>
      </c>
      <c r="H181" s="240">
        <v>0</v>
      </c>
    </row>
    <row r="182" spans="1:8" ht="15.6" x14ac:dyDescent="0.3">
      <c r="A182" s="237">
        <v>35500</v>
      </c>
      <c r="B182" s="209" t="s">
        <v>753</v>
      </c>
      <c r="C182" s="239">
        <v>-12159579</v>
      </c>
      <c r="D182" s="240">
        <v>-7649489</v>
      </c>
      <c r="E182" s="240">
        <v>-7818916</v>
      </c>
      <c r="F182" s="240">
        <v>-4256354</v>
      </c>
      <c r="G182" s="240">
        <v>0</v>
      </c>
      <c r="H182" s="240">
        <v>0</v>
      </c>
    </row>
    <row r="183" spans="1:8" ht="15.6" x14ac:dyDescent="0.3">
      <c r="A183" s="237">
        <v>35600</v>
      </c>
      <c r="B183" s="209" t="s">
        <v>754</v>
      </c>
      <c r="C183" s="239">
        <v>-4578267</v>
      </c>
      <c r="D183" s="240">
        <v>-2858895</v>
      </c>
      <c r="E183" s="240">
        <v>-2995773</v>
      </c>
      <c r="F183" s="240">
        <v>-1410858</v>
      </c>
      <c r="G183" s="240">
        <v>0</v>
      </c>
      <c r="H183" s="240">
        <v>0</v>
      </c>
    </row>
    <row r="184" spans="1:8" ht="15.6" x14ac:dyDescent="0.3">
      <c r="A184" s="237">
        <v>35700</v>
      </c>
      <c r="B184" s="209" t="s">
        <v>755</v>
      </c>
      <c r="C184" s="239">
        <v>-2835920</v>
      </c>
      <c r="D184" s="240">
        <v>-1668294</v>
      </c>
      <c r="E184" s="240">
        <v>-1781687</v>
      </c>
      <c r="F184" s="240">
        <v>-995057</v>
      </c>
      <c r="G184" s="240">
        <v>0</v>
      </c>
      <c r="H184" s="240">
        <v>0</v>
      </c>
    </row>
    <row r="185" spans="1:8" ht="15.6" x14ac:dyDescent="0.3">
      <c r="A185" s="237">
        <v>35800</v>
      </c>
      <c r="B185" s="209" t="s">
        <v>756</v>
      </c>
      <c r="C185" s="239">
        <v>-4261772</v>
      </c>
      <c r="D185" s="240">
        <v>-2598097</v>
      </c>
      <c r="E185" s="240">
        <v>-2616301</v>
      </c>
      <c r="F185" s="240">
        <v>-1741390</v>
      </c>
      <c r="G185" s="240">
        <v>0</v>
      </c>
      <c r="H185" s="240">
        <v>0</v>
      </c>
    </row>
    <row r="186" spans="1:8" ht="15.6" x14ac:dyDescent="0.3">
      <c r="A186" s="237">
        <v>35805</v>
      </c>
      <c r="B186" s="209" t="s">
        <v>757</v>
      </c>
      <c r="C186" s="239">
        <v>-445712</v>
      </c>
      <c r="D186" s="240">
        <v>-385559</v>
      </c>
      <c r="E186" s="240">
        <v>-533431</v>
      </c>
      <c r="F186" s="240">
        <v>-316647</v>
      </c>
      <c r="G186" s="240">
        <v>0</v>
      </c>
      <c r="H186" s="240">
        <v>0</v>
      </c>
    </row>
    <row r="187" spans="1:8" ht="15.6" x14ac:dyDescent="0.3">
      <c r="A187" s="237">
        <v>35900</v>
      </c>
      <c r="B187" s="209" t="s">
        <v>758</v>
      </c>
      <c r="C187" s="239">
        <v>-7585834</v>
      </c>
      <c r="D187" s="240">
        <v>-5131103</v>
      </c>
      <c r="E187" s="240">
        <v>-5060231</v>
      </c>
      <c r="F187" s="240">
        <v>-2914704</v>
      </c>
      <c r="G187" s="240">
        <v>0</v>
      </c>
      <c r="H187" s="240">
        <v>0</v>
      </c>
    </row>
    <row r="188" spans="1:8" ht="15.6" x14ac:dyDescent="0.3">
      <c r="A188" s="237">
        <v>35905</v>
      </c>
      <c r="B188" s="209" t="s">
        <v>759</v>
      </c>
      <c r="C188" s="239">
        <v>-998271</v>
      </c>
      <c r="D188" s="240">
        <v>-594737</v>
      </c>
      <c r="E188" s="240">
        <v>-508513</v>
      </c>
      <c r="F188" s="240">
        <v>-117155</v>
      </c>
      <c r="G188" s="240">
        <v>0</v>
      </c>
      <c r="H188" s="240">
        <v>0</v>
      </c>
    </row>
    <row r="189" spans="1:8" ht="15.6" x14ac:dyDescent="0.3">
      <c r="A189" s="237">
        <v>36000</v>
      </c>
      <c r="B189" s="209" t="s">
        <v>760</v>
      </c>
      <c r="C189" s="239">
        <v>-171003795</v>
      </c>
      <c r="D189" s="240">
        <v>-110879923</v>
      </c>
      <c r="E189" s="240">
        <v>-118472609</v>
      </c>
      <c r="F189" s="240">
        <v>-71601511</v>
      </c>
      <c r="G189" s="240">
        <v>0</v>
      </c>
      <c r="H189" s="240">
        <v>0</v>
      </c>
    </row>
    <row r="190" spans="1:8" ht="15.6" x14ac:dyDescent="0.3">
      <c r="A190" s="237">
        <v>36001</v>
      </c>
      <c r="B190" s="209" t="s">
        <v>761</v>
      </c>
      <c r="C190" s="239">
        <v>-218360</v>
      </c>
      <c r="D190" s="240">
        <v>0</v>
      </c>
      <c r="E190" s="240">
        <v>0</v>
      </c>
      <c r="F190" s="240">
        <v>0</v>
      </c>
      <c r="G190" s="240">
        <v>0</v>
      </c>
      <c r="H190" s="240">
        <v>0</v>
      </c>
    </row>
    <row r="191" spans="1:8" ht="15.6" x14ac:dyDescent="0.3">
      <c r="A191" s="237">
        <v>36002</v>
      </c>
      <c r="B191" s="209" t="s">
        <v>762</v>
      </c>
      <c r="C191" s="239">
        <v>-161620</v>
      </c>
      <c r="D191" s="240">
        <v>0</v>
      </c>
      <c r="E191" s="240">
        <v>0</v>
      </c>
      <c r="F191" s="240">
        <v>0</v>
      </c>
      <c r="G191" s="240">
        <v>0</v>
      </c>
      <c r="H191" s="240">
        <v>0</v>
      </c>
    </row>
    <row r="192" spans="1:8" ht="15.6" x14ac:dyDescent="0.3">
      <c r="A192" s="237">
        <v>36003</v>
      </c>
      <c r="B192" s="209" t="s">
        <v>763</v>
      </c>
      <c r="C192" s="239">
        <v>-1287666</v>
      </c>
      <c r="D192" s="240">
        <v>-698554</v>
      </c>
      <c r="E192" s="240">
        <v>-724919</v>
      </c>
      <c r="F192" s="240">
        <v>-278349</v>
      </c>
      <c r="G192" s="240">
        <v>0</v>
      </c>
      <c r="H192" s="240">
        <v>0</v>
      </c>
    </row>
    <row r="193" spans="1:8" ht="15.6" x14ac:dyDescent="0.3">
      <c r="A193" s="237">
        <v>36004</v>
      </c>
      <c r="B193" s="209" t="s">
        <v>764</v>
      </c>
      <c r="C193" s="239">
        <v>-354232</v>
      </c>
      <c r="D193" s="240">
        <v>-80000</v>
      </c>
      <c r="E193" s="240">
        <v>-378171</v>
      </c>
      <c r="F193" s="240">
        <v>-170954</v>
      </c>
      <c r="G193" s="240">
        <v>0</v>
      </c>
      <c r="H193" s="240">
        <v>0</v>
      </c>
    </row>
    <row r="194" spans="1:8" ht="15.6" x14ac:dyDescent="0.3">
      <c r="A194" s="237">
        <v>36005</v>
      </c>
      <c r="B194" s="209" t="s">
        <v>765</v>
      </c>
      <c r="C194" s="239">
        <v>-14073663</v>
      </c>
      <c r="D194" s="240">
        <v>-11418694</v>
      </c>
      <c r="E194" s="240">
        <v>-11195861</v>
      </c>
      <c r="F194" s="240">
        <v>-6519511</v>
      </c>
      <c r="G194" s="240">
        <v>0</v>
      </c>
      <c r="H194" s="240">
        <v>0</v>
      </c>
    </row>
    <row r="195" spans="1:8" ht="15.6" x14ac:dyDescent="0.3">
      <c r="A195" s="237">
        <v>36006</v>
      </c>
      <c r="B195" s="209" t="s">
        <v>766</v>
      </c>
      <c r="C195" s="239">
        <v>-1161972</v>
      </c>
      <c r="D195" s="240">
        <v>-925466</v>
      </c>
      <c r="E195" s="240">
        <v>-1331588</v>
      </c>
      <c r="F195" s="240">
        <v>-783503</v>
      </c>
      <c r="G195" s="240">
        <v>0</v>
      </c>
      <c r="H195" s="240">
        <v>0</v>
      </c>
    </row>
    <row r="196" spans="1:8" ht="15.6" x14ac:dyDescent="0.3">
      <c r="A196" s="237">
        <v>36007</v>
      </c>
      <c r="B196" s="209" t="s">
        <v>767</v>
      </c>
      <c r="C196" s="239">
        <v>-254568</v>
      </c>
      <c r="D196" s="240">
        <v>-79357</v>
      </c>
      <c r="E196" s="240">
        <v>-180802</v>
      </c>
      <c r="F196" s="240">
        <v>-23315</v>
      </c>
      <c r="G196" s="240">
        <v>0</v>
      </c>
      <c r="H196" s="240">
        <v>0</v>
      </c>
    </row>
    <row r="197" spans="1:8" ht="15.6" x14ac:dyDescent="0.3">
      <c r="A197" s="237">
        <v>36008</v>
      </c>
      <c r="B197" s="209" t="s">
        <v>768</v>
      </c>
      <c r="C197" s="239">
        <v>-1852885</v>
      </c>
      <c r="D197" s="240">
        <v>-942419</v>
      </c>
      <c r="E197" s="240">
        <v>-1041805</v>
      </c>
      <c r="F197" s="240">
        <v>-564194</v>
      </c>
      <c r="G197" s="240">
        <v>0</v>
      </c>
      <c r="H197" s="240">
        <v>0</v>
      </c>
    </row>
    <row r="198" spans="1:8" ht="15.6" x14ac:dyDescent="0.3">
      <c r="A198" s="237">
        <v>36009</v>
      </c>
      <c r="B198" s="209" t="s">
        <v>769</v>
      </c>
      <c r="C198" s="239">
        <v>-850087</v>
      </c>
      <c r="D198" s="240">
        <v>-454089</v>
      </c>
      <c r="E198" s="240">
        <v>-310428</v>
      </c>
      <c r="F198" s="240">
        <v>-181963</v>
      </c>
      <c r="G198" s="240">
        <v>0</v>
      </c>
      <c r="H198" s="240">
        <v>0</v>
      </c>
    </row>
    <row r="199" spans="1:8" ht="15.6" x14ac:dyDescent="0.3">
      <c r="A199" s="237">
        <v>36100</v>
      </c>
      <c r="B199" s="209" t="s">
        <v>770</v>
      </c>
      <c r="C199" s="239">
        <v>-2203475</v>
      </c>
      <c r="D199" s="240">
        <v>-1371923</v>
      </c>
      <c r="E199" s="240">
        <v>-1476775</v>
      </c>
      <c r="F199" s="240">
        <v>-835919</v>
      </c>
      <c r="G199" s="240">
        <v>0</v>
      </c>
      <c r="H199" s="240">
        <v>0</v>
      </c>
    </row>
    <row r="200" spans="1:8" ht="15.6" x14ac:dyDescent="0.3">
      <c r="A200" s="237">
        <v>36102</v>
      </c>
      <c r="B200" s="209" t="s">
        <v>771</v>
      </c>
      <c r="C200" s="239">
        <v>-1163596</v>
      </c>
      <c r="D200" s="240">
        <v>-1550309</v>
      </c>
      <c r="E200" s="240">
        <v>-1607964</v>
      </c>
      <c r="F200" s="240">
        <v>-1864039</v>
      </c>
      <c r="G200" s="240">
        <v>0</v>
      </c>
      <c r="H200" s="240">
        <v>0</v>
      </c>
    </row>
    <row r="201" spans="1:8" ht="15.6" x14ac:dyDescent="0.3">
      <c r="A201" s="237">
        <v>36105</v>
      </c>
      <c r="B201" s="209" t="s">
        <v>772</v>
      </c>
      <c r="C201" s="239">
        <v>-1241722</v>
      </c>
      <c r="D201" s="240">
        <v>-983540</v>
      </c>
      <c r="E201" s="240">
        <v>-822508</v>
      </c>
      <c r="F201" s="240">
        <v>-638101</v>
      </c>
      <c r="G201" s="240">
        <v>0</v>
      </c>
      <c r="H201" s="240">
        <v>0</v>
      </c>
    </row>
    <row r="202" spans="1:8" ht="15.6" x14ac:dyDescent="0.3">
      <c r="A202" s="237">
        <v>36200</v>
      </c>
      <c r="B202" s="209" t="s">
        <v>773</v>
      </c>
      <c r="C202" s="239">
        <v>-5483513</v>
      </c>
      <c r="D202" s="240">
        <v>-3856958</v>
      </c>
      <c r="E202" s="240">
        <v>-3490857</v>
      </c>
      <c r="F202" s="240">
        <v>-2116164</v>
      </c>
      <c r="G202" s="240">
        <v>0</v>
      </c>
      <c r="H202" s="240">
        <v>0</v>
      </c>
    </row>
    <row r="203" spans="1:8" ht="15.6" x14ac:dyDescent="0.3">
      <c r="A203" s="237">
        <v>36205</v>
      </c>
      <c r="B203" s="209" t="s">
        <v>774</v>
      </c>
      <c r="C203" s="239">
        <v>-559939</v>
      </c>
      <c r="D203" s="240">
        <v>-438879</v>
      </c>
      <c r="E203" s="240">
        <v>-561367</v>
      </c>
      <c r="F203" s="240">
        <v>-382167</v>
      </c>
      <c r="G203" s="240">
        <v>0</v>
      </c>
      <c r="H203" s="240">
        <v>0</v>
      </c>
    </row>
    <row r="204" spans="1:8" ht="15.6" x14ac:dyDescent="0.3">
      <c r="A204" s="237">
        <v>36300</v>
      </c>
      <c r="B204" s="209" t="s">
        <v>775</v>
      </c>
      <c r="C204" s="239">
        <v>-15931933</v>
      </c>
      <c r="D204" s="240">
        <v>-10239138</v>
      </c>
      <c r="E204" s="240">
        <v>-10923051</v>
      </c>
      <c r="F204" s="240">
        <v>-7239329</v>
      </c>
      <c r="G204" s="240">
        <v>0</v>
      </c>
      <c r="H204" s="240">
        <v>0</v>
      </c>
    </row>
    <row r="205" spans="1:8" ht="15.6" x14ac:dyDescent="0.3">
      <c r="A205" s="237">
        <v>36301</v>
      </c>
      <c r="B205" s="209" t="s">
        <v>776</v>
      </c>
      <c r="C205" s="239">
        <v>-37055</v>
      </c>
      <c r="D205" s="240">
        <v>59020</v>
      </c>
      <c r="E205" s="240">
        <v>-67283</v>
      </c>
      <c r="F205" s="240">
        <v>-32449</v>
      </c>
      <c r="G205" s="240">
        <v>0</v>
      </c>
      <c r="H205" s="240">
        <v>0</v>
      </c>
    </row>
    <row r="206" spans="1:8" ht="15.6" x14ac:dyDescent="0.3">
      <c r="A206" s="237">
        <v>36302</v>
      </c>
      <c r="B206" s="209" t="s">
        <v>777</v>
      </c>
      <c r="C206" s="239">
        <v>-113485</v>
      </c>
      <c r="D206" s="240">
        <v>75957</v>
      </c>
      <c r="E206" s="240">
        <v>-46502</v>
      </c>
      <c r="F206" s="240">
        <v>32816</v>
      </c>
      <c r="G206" s="240">
        <v>0</v>
      </c>
      <c r="H206" s="240">
        <v>0</v>
      </c>
    </row>
    <row r="207" spans="1:8" ht="15.6" x14ac:dyDescent="0.3">
      <c r="A207" s="237">
        <v>36303</v>
      </c>
      <c r="B207" s="209" t="s">
        <v>778</v>
      </c>
      <c r="C207" s="239">
        <v>1002588</v>
      </c>
      <c r="D207" s="240">
        <v>226989</v>
      </c>
      <c r="E207" s="240">
        <v>-152032</v>
      </c>
      <c r="F207" s="240">
        <v>-44041</v>
      </c>
      <c r="G207" s="240">
        <v>0</v>
      </c>
      <c r="H207" s="240">
        <v>0</v>
      </c>
    </row>
    <row r="208" spans="1:8" ht="15.6" x14ac:dyDescent="0.3">
      <c r="A208" s="237">
        <v>36305</v>
      </c>
      <c r="B208" s="209" t="s">
        <v>779</v>
      </c>
      <c r="C208" s="239">
        <v>-2280556</v>
      </c>
      <c r="D208" s="240">
        <v>-1380440</v>
      </c>
      <c r="E208" s="240">
        <v>-1593374</v>
      </c>
      <c r="F208" s="240">
        <v>-789215</v>
      </c>
      <c r="G208" s="240">
        <v>0</v>
      </c>
      <c r="H208" s="240">
        <v>0</v>
      </c>
    </row>
    <row r="209" spans="1:8" ht="15.6" x14ac:dyDescent="0.3">
      <c r="A209" s="237">
        <v>36310</v>
      </c>
      <c r="B209" s="209" t="s">
        <v>780</v>
      </c>
      <c r="C209" s="239">
        <v>-179981</v>
      </c>
      <c r="D209" s="240">
        <v>0</v>
      </c>
      <c r="E209" s="240">
        <v>0</v>
      </c>
      <c r="F209" s="240">
        <v>0</v>
      </c>
      <c r="G209" s="240">
        <v>0</v>
      </c>
      <c r="H209" s="240">
        <v>0</v>
      </c>
    </row>
    <row r="210" spans="1:8" ht="15.6" x14ac:dyDescent="0.3">
      <c r="A210" s="237">
        <v>36400</v>
      </c>
      <c r="B210" s="209" t="s">
        <v>781</v>
      </c>
      <c r="C210" s="239">
        <v>-17546099</v>
      </c>
      <c r="D210" s="240">
        <v>-11311293</v>
      </c>
      <c r="E210" s="240">
        <v>-10624022</v>
      </c>
      <c r="F210" s="240">
        <v>-5255183</v>
      </c>
      <c r="G210" s="240">
        <v>0</v>
      </c>
      <c r="H210" s="240">
        <v>0</v>
      </c>
    </row>
    <row r="211" spans="1:8" ht="15.6" x14ac:dyDescent="0.3">
      <c r="A211" s="237">
        <v>36405</v>
      </c>
      <c r="B211" s="209" t="s">
        <v>782</v>
      </c>
      <c r="C211" s="239">
        <v>-2903244</v>
      </c>
      <c r="D211" s="240">
        <v>-2394081</v>
      </c>
      <c r="E211" s="240">
        <v>-2194909</v>
      </c>
      <c r="F211" s="240">
        <v>-1314331</v>
      </c>
      <c r="G211" s="240">
        <v>0</v>
      </c>
      <c r="H211" s="240">
        <v>0</v>
      </c>
    </row>
    <row r="212" spans="1:8" ht="15.6" x14ac:dyDescent="0.3">
      <c r="A212" s="237">
        <v>36500</v>
      </c>
      <c r="B212" s="209" t="s">
        <v>783</v>
      </c>
      <c r="C212" s="239">
        <v>-31718882</v>
      </c>
      <c r="D212" s="240">
        <v>-21646442</v>
      </c>
      <c r="E212" s="240">
        <v>-22396425</v>
      </c>
      <c r="F212" s="240">
        <v>-12383542</v>
      </c>
      <c r="G212" s="240">
        <v>0</v>
      </c>
      <c r="H212" s="240">
        <v>0</v>
      </c>
    </row>
    <row r="213" spans="1:8" ht="15.6" x14ac:dyDescent="0.3">
      <c r="A213" s="237">
        <v>36501</v>
      </c>
      <c r="B213" s="209" t="s">
        <v>784</v>
      </c>
      <c r="C213" s="239">
        <v>-357393</v>
      </c>
      <c r="D213" s="240">
        <v>-289630</v>
      </c>
      <c r="E213" s="240">
        <v>-297653</v>
      </c>
      <c r="F213" s="240">
        <v>-170889</v>
      </c>
      <c r="G213" s="240">
        <v>0</v>
      </c>
      <c r="H213" s="240">
        <v>0</v>
      </c>
    </row>
    <row r="214" spans="1:8" ht="15.6" x14ac:dyDescent="0.3">
      <c r="A214" s="237">
        <v>36502</v>
      </c>
      <c r="B214" s="209" t="s">
        <v>785</v>
      </c>
      <c r="C214" s="239">
        <v>-200005</v>
      </c>
      <c r="D214" s="240">
        <v>-181890</v>
      </c>
      <c r="E214" s="240">
        <v>-178964</v>
      </c>
      <c r="F214" s="240">
        <v>-139152</v>
      </c>
      <c r="G214" s="240">
        <v>0</v>
      </c>
      <c r="H214" s="240">
        <v>0</v>
      </c>
    </row>
    <row r="215" spans="1:8" ht="15.6" x14ac:dyDescent="0.3">
      <c r="A215" s="237">
        <v>36505</v>
      </c>
      <c r="B215" s="209" t="s">
        <v>786</v>
      </c>
      <c r="C215" s="239">
        <v>-6041401</v>
      </c>
      <c r="D215" s="240">
        <v>-4191440</v>
      </c>
      <c r="E215" s="240">
        <v>-4323599</v>
      </c>
      <c r="F215" s="240">
        <v>-2284938</v>
      </c>
      <c r="G215" s="240">
        <v>0</v>
      </c>
      <c r="H215" s="240">
        <v>0</v>
      </c>
    </row>
    <row r="216" spans="1:8" ht="15.6" x14ac:dyDescent="0.3">
      <c r="A216" s="237">
        <v>36600</v>
      </c>
      <c r="B216" s="209" t="s">
        <v>787</v>
      </c>
      <c r="C216" s="239">
        <v>-2569059</v>
      </c>
      <c r="D216" s="240">
        <v>-1951260</v>
      </c>
      <c r="E216" s="240">
        <v>-1735179</v>
      </c>
      <c r="F216" s="240">
        <v>-1085894</v>
      </c>
      <c r="G216" s="240">
        <v>0</v>
      </c>
      <c r="H216" s="240">
        <v>0</v>
      </c>
    </row>
    <row r="217" spans="1:8" ht="15.6" x14ac:dyDescent="0.3">
      <c r="A217" s="237">
        <v>36601</v>
      </c>
      <c r="B217" s="209" t="s">
        <v>788</v>
      </c>
      <c r="C217" s="239">
        <v>-2758969</v>
      </c>
      <c r="D217" s="240">
        <v>-2822689</v>
      </c>
      <c r="E217" s="240">
        <v>-2658003</v>
      </c>
      <c r="F217" s="240">
        <v>-2391206</v>
      </c>
      <c r="G217" s="240">
        <v>0</v>
      </c>
      <c r="H217" s="240">
        <v>0</v>
      </c>
    </row>
    <row r="218" spans="1:8" ht="15.6" x14ac:dyDescent="0.3">
      <c r="A218" s="237">
        <v>36700</v>
      </c>
      <c r="B218" s="209" t="s">
        <v>789</v>
      </c>
      <c r="C218" s="239">
        <v>-27470252</v>
      </c>
      <c r="D218" s="240">
        <v>-19722577</v>
      </c>
      <c r="E218" s="240">
        <v>-21966982</v>
      </c>
      <c r="F218" s="240">
        <v>-14865729</v>
      </c>
      <c r="G218" s="240">
        <v>0</v>
      </c>
      <c r="H218" s="240">
        <v>0</v>
      </c>
    </row>
    <row r="219" spans="1:8" ht="15.6" x14ac:dyDescent="0.3">
      <c r="A219" s="237">
        <v>36701</v>
      </c>
      <c r="B219" s="209" t="s">
        <v>790</v>
      </c>
      <c r="C219" s="239">
        <v>-112351</v>
      </c>
      <c r="D219" s="240">
        <v>-66082</v>
      </c>
      <c r="E219" s="240">
        <v>-152768</v>
      </c>
      <c r="F219" s="240">
        <v>-138201</v>
      </c>
      <c r="G219" s="240">
        <v>0</v>
      </c>
      <c r="H219" s="240">
        <v>0</v>
      </c>
    </row>
    <row r="220" spans="1:8" ht="15.6" x14ac:dyDescent="0.3">
      <c r="A220" s="237">
        <v>36705</v>
      </c>
      <c r="B220" s="209" t="s">
        <v>791</v>
      </c>
      <c r="C220" s="239">
        <v>-2467265</v>
      </c>
      <c r="D220" s="240">
        <v>-2112619</v>
      </c>
      <c r="E220" s="240">
        <v>-2178306</v>
      </c>
      <c r="F220" s="240">
        <v>-1049594</v>
      </c>
      <c r="G220" s="240">
        <v>0</v>
      </c>
      <c r="H220" s="240">
        <v>0</v>
      </c>
    </row>
    <row r="221" spans="1:8" ht="15.6" x14ac:dyDescent="0.3">
      <c r="A221" s="237">
        <v>36800</v>
      </c>
      <c r="B221" s="209" t="s">
        <v>792</v>
      </c>
      <c r="C221" s="239">
        <v>-10775865</v>
      </c>
      <c r="D221" s="240">
        <v>-7626918</v>
      </c>
      <c r="E221" s="240">
        <v>-7281026</v>
      </c>
      <c r="F221" s="240">
        <v>-3933740</v>
      </c>
      <c r="G221" s="240">
        <v>0</v>
      </c>
      <c r="H221" s="240">
        <v>0</v>
      </c>
    </row>
    <row r="222" spans="1:8" ht="15.6" x14ac:dyDescent="0.3">
      <c r="A222" s="237">
        <v>36802</v>
      </c>
      <c r="B222" s="209" t="s">
        <v>793</v>
      </c>
      <c r="C222" s="239">
        <v>181125</v>
      </c>
      <c r="D222" s="240">
        <v>20196</v>
      </c>
      <c r="E222" s="240">
        <v>-150405</v>
      </c>
      <c r="F222" s="240">
        <v>-308045</v>
      </c>
      <c r="G222" s="240">
        <v>0</v>
      </c>
      <c r="H222" s="240">
        <v>0</v>
      </c>
    </row>
    <row r="223" spans="1:8" ht="15.6" x14ac:dyDescent="0.3">
      <c r="A223" s="237">
        <v>36810</v>
      </c>
      <c r="B223" s="209" t="s">
        <v>794</v>
      </c>
      <c r="C223" s="239">
        <v>-18870719</v>
      </c>
      <c r="D223" s="240">
        <v>-12258484</v>
      </c>
      <c r="E223" s="240">
        <v>-13157750</v>
      </c>
      <c r="F223" s="240">
        <v>-7768488</v>
      </c>
      <c r="G223" s="240">
        <v>0</v>
      </c>
      <c r="H223" s="240">
        <v>0</v>
      </c>
    </row>
    <row r="224" spans="1:8" ht="15.6" x14ac:dyDescent="0.3">
      <c r="A224" s="237">
        <v>36900</v>
      </c>
      <c r="B224" s="209" t="s">
        <v>795</v>
      </c>
      <c r="C224" s="239">
        <v>-1784372</v>
      </c>
      <c r="D224" s="240">
        <v>-988250</v>
      </c>
      <c r="E224" s="240">
        <v>-1064064</v>
      </c>
      <c r="F224" s="240">
        <v>-593231</v>
      </c>
      <c r="G224" s="240">
        <v>0</v>
      </c>
      <c r="H224" s="240">
        <v>0</v>
      </c>
    </row>
    <row r="225" spans="1:8" ht="15.6" x14ac:dyDescent="0.3">
      <c r="A225" s="237">
        <v>36901</v>
      </c>
      <c r="B225" s="209" t="s">
        <v>796</v>
      </c>
      <c r="C225" s="239">
        <v>-630376</v>
      </c>
      <c r="D225" s="240">
        <v>-478744</v>
      </c>
      <c r="E225" s="240">
        <v>-629552</v>
      </c>
      <c r="F225" s="240">
        <v>-457565</v>
      </c>
      <c r="G225" s="240">
        <v>0</v>
      </c>
      <c r="H225" s="240">
        <v>0</v>
      </c>
    </row>
    <row r="226" spans="1:8" ht="16.05" customHeight="1" x14ac:dyDescent="0.3">
      <c r="A226" s="237">
        <v>36905</v>
      </c>
      <c r="B226" s="209" t="s">
        <v>797</v>
      </c>
      <c r="C226" s="239">
        <v>-523228</v>
      </c>
      <c r="D226" s="240">
        <v>-395232</v>
      </c>
      <c r="E226" s="240">
        <v>-555797</v>
      </c>
      <c r="F226" s="240">
        <v>-338711</v>
      </c>
      <c r="G226" s="240">
        <v>0</v>
      </c>
      <c r="H226" s="240">
        <v>0</v>
      </c>
    </row>
    <row r="227" spans="1:8" ht="15.6" x14ac:dyDescent="0.3">
      <c r="A227" s="237">
        <v>37000</v>
      </c>
      <c r="B227" s="209" t="s">
        <v>798</v>
      </c>
      <c r="C227" s="239">
        <v>-7260309</v>
      </c>
      <c r="D227" s="240">
        <v>-5005363</v>
      </c>
      <c r="E227" s="240">
        <v>-4556779</v>
      </c>
      <c r="F227" s="240">
        <v>-3093112</v>
      </c>
      <c r="G227" s="240">
        <v>0</v>
      </c>
      <c r="H227" s="240">
        <v>0</v>
      </c>
    </row>
    <row r="228" spans="1:8" ht="31.2" x14ac:dyDescent="0.3">
      <c r="A228" s="237">
        <v>37001</v>
      </c>
      <c r="B228" s="209" t="s">
        <v>799</v>
      </c>
      <c r="C228" s="239">
        <v>199198</v>
      </c>
      <c r="D228" s="240">
        <v>212292</v>
      </c>
      <c r="E228" s="240">
        <v>77726</v>
      </c>
      <c r="F228" s="240">
        <v>-10545</v>
      </c>
      <c r="G228" s="240">
        <v>0</v>
      </c>
      <c r="H228" s="240">
        <v>0</v>
      </c>
    </row>
    <row r="229" spans="1:8" ht="15.6" x14ac:dyDescent="0.3">
      <c r="A229" s="237">
        <v>37005</v>
      </c>
      <c r="B229" s="209" t="s">
        <v>800</v>
      </c>
      <c r="C229" s="239">
        <v>-1133155</v>
      </c>
      <c r="D229" s="240">
        <v>-647673</v>
      </c>
      <c r="E229" s="240">
        <v>-674647</v>
      </c>
      <c r="F229" s="240">
        <v>-349325</v>
      </c>
      <c r="G229" s="240">
        <v>0</v>
      </c>
      <c r="H229" s="240">
        <v>0</v>
      </c>
    </row>
    <row r="230" spans="1:8" ht="15.6" x14ac:dyDescent="0.3">
      <c r="A230" s="237">
        <v>37100</v>
      </c>
      <c r="B230" s="209" t="s">
        <v>801</v>
      </c>
      <c r="C230" s="239">
        <v>-8515722</v>
      </c>
      <c r="D230" s="240">
        <v>-5159247</v>
      </c>
      <c r="E230" s="240">
        <v>-6225236</v>
      </c>
      <c r="F230" s="240">
        <v>-3804055</v>
      </c>
      <c r="G230" s="240">
        <v>0</v>
      </c>
      <c r="H230" s="240">
        <v>0</v>
      </c>
    </row>
    <row r="231" spans="1:8" ht="15.6" x14ac:dyDescent="0.3">
      <c r="A231" s="237">
        <v>37200</v>
      </c>
      <c r="B231" s="209" t="s">
        <v>802</v>
      </c>
      <c r="C231" s="239">
        <v>-2154975</v>
      </c>
      <c r="D231" s="240">
        <v>-1335171</v>
      </c>
      <c r="E231" s="240">
        <v>-1404725</v>
      </c>
      <c r="F231" s="240">
        <v>-822887</v>
      </c>
      <c r="G231" s="240">
        <v>0</v>
      </c>
      <c r="H231" s="240">
        <v>0</v>
      </c>
    </row>
    <row r="232" spans="1:8" ht="15.6" x14ac:dyDescent="0.3">
      <c r="A232" s="237">
        <v>37300</v>
      </c>
      <c r="B232" s="209" t="s">
        <v>803</v>
      </c>
      <c r="C232" s="239">
        <v>-5983169</v>
      </c>
      <c r="D232" s="240">
        <v>-4244823</v>
      </c>
      <c r="E232" s="240">
        <v>-4249694</v>
      </c>
      <c r="F232" s="240">
        <v>-2161561</v>
      </c>
      <c r="G232" s="240">
        <v>0</v>
      </c>
      <c r="H232" s="240">
        <v>0</v>
      </c>
    </row>
    <row r="233" spans="1:8" ht="15.6" x14ac:dyDescent="0.3">
      <c r="A233" s="237">
        <v>37301</v>
      </c>
      <c r="B233" s="209" t="s">
        <v>804</v>
      </c>
      <c r="C233" s="239">
        <v>-681781</v>
      </c>
      <c r="D233" s="240">
        <v>-439073</v>
      </c>
      <c r="E233" s="240">
        <v>-499977</v>
      </c>
      <c r="F233" s="240">
        <v>-317174</v>
      </c>
      <c r="G233" s="240">
        <v>0</v>
      </c>
      <c r="H233" s="240">
        <v>0</v>
      </c>
    </row>
    <row r="234" spans="1:8" ht="15.6" x14ac:dyDescent="0.3">
      <c r="A234" s="237">
        <v>37305</v>
      </c>
      <c r="B234" s="209" t="s">
        <v>805</v>
      </c>
      <c r="C234" s="239">
        <v>-1378918</v>
      </c>
      <c r="D234" s="240">
        <v>-958309</v>
      </c>
      <c r="E234" s="240">
        <v>-990386</v>
      </c>
      <c r="F234" s="240">
        <v>-469093</v>
      </c>
      <c r="G234" s="240">
        <v>0</v>
      </c>
      <c r="H234" s="240">
        <v>0</v>
      </c>
    </row>
    <row r="235" spans="1:8" ht="15.6" x14ac:dyDescent="0.3">
      <c r="A235" s="237">
        <v>37400</v>
      </c>
      <c r="B235" s="209" t="s">
        <v>806</v>
      </c>
      <c r="C235" s="239">
        <v>-25201225</v>
      </c>
      <c r="D235" s="240">
        <v>-15135328</v>
      </c>
      <c r="E235" s="240">
        <v>-17482668</v>
      </c>
      <c r="F235" s="240">
        <v>-9838270</v>
      </c>
      <c r="G235" s="240">
        <v>0</v>
      </c>
      <c r="H235" s="240">
        <v>0</v>
      </c>
    </row>
    <row r="236" spans="1:8" ht="15.6" x14ac:dyDescent="0.3">
      <c r="A236" s="237">
        <v>37405</v>
      </c>
      <c r="B236" s="209" t="s">
        <v>807</v>
      </c>
      <c r="C236" s="239">
        <v>-5899760</v>
      </c>
      <c r="D236" s="240">
        <v>-4634001</v>
      </c>
      <c r="E236" s="240">
        <v>-4199885</v>
      </c>
      <c r="F236" s="240">
        <v>-2117872</v>
      </c>
      <c r="G236" s="240">
        <v>0</v>
      </c>
      <c r="H236" s="240">
        <v>0</v>
      </c>
    </row>
    <row r="237" spans="1:8" ht="15.6" x14ac:dyDescent="0.3">
      <c r="A237" s="237">
        <v>37500</v>
      </c>
      <c r="B237" s="209" t="s">
        <v>808</v>
      </c>
      <c r="C237" s="239">
        <v>-3069963</v>
      </c>
      <c r="D237" s="240">
        <v>-1973175</v>
      </c>
      <c r="E237" s="240">
        <v>-2064199</v>
      </c>
      <c r="F237" s="240">
        <v>-1172153</v>
      </c>
      <c r="G237" s="240">
        <v>0</v>
      </c>
      <c r="H237" s="240">
        <v>0</v>
      </c>
    </row>
    <row r="238" spans="1:8" ht="15.6" x14ac:dyDescent="0.3">
      <c r="A238" s="237">
        <v>37600</v>
      </c>
      <c r="B238" s="209" t="s">
        <v>809</v>
      </c>
      <c r="C238" s="239">
        <v>-20740666</v>
      </c>
      <c r="D238" s="240">
        <v>-13801778</v>
      </c>
      <c r="E238" s="240">
        <v>-13158292</v>
      </c>
      <c r="F238" s="240">
        <v>-7223218</v>
      </c>
      <c r="G238" s="240">
        <v>0</v>
      </c>
      <c r="H238" s="240">
        <v>0</v>
      </c>
    </row>
    <row r="239" spans="1:8" ht="15.6" x14ac:dyDescent="0.3">
      <c r="A239" s="237">
        <v>37601</v>
      </c>
      <c r="B239" s="209" t="s">
        <v>810</v>
      </c>
      <c r="C239" s="239">
        <v>416212</v>
      </c>
      <c r="D239" s="240">
        <v>592098</v>
      </c>
      <c r="E239" s="240">
        <v>-452975</v>
      </c>
      <c r="F239" s="240">
        <v>-304127</v>
      </c>
      <c r="G239" s="240">
        <v>0</v>
      </c>
      <c r="H239" s="240">
        <v>0</v>
      </c>
    </row>
    <row r="240" spans="1:8" ht="15.6" x14ac:dyDescent="0.3">
      <c r="A240" s="237">
        <v>37605</v>
      </c>
      <c r="B240" s="209" t="s">
        <v>811</v>
      </c>
      <c r="C240" s="239">
        <v>-2124477</v>
      </c>
      <c r="D240" s="240">
        <v>-1573514</v>
      </c>
      <c r="E240" s="240">
        <v>-1631402</v>
      </c>
      <c r="F240" s="240">
        <v>-972540</v>
      </c>
      <c r="G240" s="240">
        <v>0</v>
      </c>
      <c r="H240" s="240">
        <v>0</v>
      </c>
    </row>
    <row r="241" spans="1:8" ht="15.6" x14ac:dyDescent="0.3">
      <c r="A241" s="237">
        <v>37610</v>
      </c>
      <c r="B241" s="209" t="s">
        <v>812</v>
      </c>
      <c r="C241" s="239">
        <v>-6534375</v>
      </c>
      <c r="D241" s="240">
        <v>-3964833</v>
      </c>
      <c r="E241" s="240">
        <v>-4183932</v>
      </c>
      <c r="F241" s="240">
        <v>-2676766</v>
      </c>
      <c r="G241" s="240">
        <v>0</v>
      </c>
      <c r="H241" s="240">
        <v>0</v>
      </c>
    </row>
    <row r="242" spans="1:8" ht="15.6" x14ac:dyDescent="0.3">
      <c r="A242" s="237">
        <v>37700</v>
      </c>
      <c r="B242" s="209" t="s">
        <v>813</v>
      </c>
      <c r="C242" s="239">
        <v>-8258469</v>
      </c>
      <c r="D242" s="240">
        <v>-5435793</v>
      </c>
      <c r="E242" s="240">
        <v>-5608046</v>
      </c>
      <c r="F242" s="240">
        <v>-3146556</v>
      </c>
      <c r="G242" s="240">
        <v>0</v>
      </c>
      <c r="H242" s="240">
        <v>0</v>
      </c>
    </row>
    <row r="243" spans="1:8" ht="15.6" x14ac:dyDescent="0.3">
      <c r="A243" s="237">
        <v>37705</v>
      </c>
      <c r="B243" s="209" t="s">
        <v>814</v>
      </c>
      <c r="C243" s="239">
        <v>-2196223</v>
      </c>
      <c r="D243" s="240">
        <v>-1849189</v>
      </c>
      <c r="E243" s="240">
        <v>-1913329</v>
      </c>
      <c r="F243" s="240">
        <v>-1060447</v>
      </c>
      <c r="G243" s="240">
        <v>0</v>
      </c>
      <c r="H243" s="240">
        <v>0</v>
      </c>
    </row>
    <row r="244" spans="1:8" ht="15.6" x14ac:dyDescent="0.3">
      <c r="A244" s="237">
        <v>37800</v>
      </c>
      <c r="B244" s="209" t="s">
        <v>815</v>
      </c>
      <c r="C244" s="239">
        <v>-24496291</v>
      </c>
      <c r="D244" s="240">
        <v>-16965709</v>
      </c>
      <c r="E244" s="240">
        <v>-17361639</v>
      </c>
      <c r="F244" s="240">
        <v>-8322502</v>
      </c>
      <c r="G244" s="240">
        <v>0</v>
      </c>
      <c r="H244" s="240">
        <v>0</v>
      </c>
    </row>
    <row r="245" spans="1:8" ht="15.6" x14ac:dyDescent="0.3">
      <c r="A245" s="237">
        <v>37801</v>
      </c>
      <c r="B245" s="209" t="s">
        <v>816</v>
      </c>
      <c r="C245" s="239">
        <v>-163499</v>
      </c>
      <c r="D245" s="240">
        <v>-95907</v>
      </c>
      <c r="E245" s="240">
        <v>-101078</v>
      </c>
      <c r="F245" s="240">
        <v>-94721</v>
      </c>
      <c r="G245" s="240">
        <v>0</v>
      </c>
      <c r="H245" s="240">
        <v>0</v>
      </c>
    </row>
    <row r="246" spans="1:8" ht="15.6" x14ac:dyDescent="0.3">
      <c r="A246" s="237">
        <v>37805</v>
      </c>
      <c r="B246" s="209" t="s">
        <v>817</v>
      </c>
      <c r="C246" s="239">
        <v>-1565372</v>
      </c>
      <c r="D246" s="240">
        <v>-1099528</v>
      </c>
      <c r="E246" s="240">
        <v>-851775</v>
      </c>
      <c r="F246" s="240">
        <v>-463186</v>
      </c>
      <c r="G246" s="240">
        <v>0</v>
      </c>
      <c r="H246" s="240">
        <v>0</v>
      </c>
    </row>
    <row r="247" spans="1:8" ht="15.6" x14ac:dyDescent="0.3">
      <c r="A247" s="237">
        <v>37900</v>
      </c>
      <c r="B247" s="209" t="s">
        <v>818</v>
      </c>
      <c r="C247" s="239">
        <v>-13353211</v>
      </c>
      <c r="D247" s="240">
        <v>-8037270</v>
      </c>
      <c r="E247" s="240">
        <v>-7190364</v>
      </c>
      <c r="F247" s="240">
        <v>-4007419</v>
      </c>
      <c r="G247" s="240">
        <v>0</v>
      </c>
      <c r="H247" s="240">
        <v>0</v>
      </c>
    </row>
    <row r="248" spans="1:8" ht="15.6" x14ac:dyDescent="0.3">
      <c r="A248" s="237">
        <v>37901</v>
      </c>
      <c r="B248" s="209" t="s">
        <v>819</v>
      </c>
      <c r="C248" s="239">
        <v>95979</v>
      </c>
      <c r="D248" s="240">
        <v>76599</v>
      </c>
      <c r="E248" s="240">
        <v>-42729</v>
      </c>
      <c r="F248" s="240">
        <v>24357</v>
      </c>
      <c r="G248" s="240">
        <v>0</v>
      </c>
      <c r="H248" s="240">
        <v>0</v>
      </c>
    </row>
    <row r="249" spans="1:8" ht="15.6" x14ac:dyDescent="0.3">
      <c r="A249" s="237">
        <v>37905</v>
      </c>
      <c r="B249" s="209" t="s">
        <v>820</v>
      </c>
      <c r="C249" s="239">
        <v>-1459706</v>
      </c>
      <c r="D249" s="240">
        <v>-868035</v>
      </c>
      <c r="E249" s="240">
        <v>-835587</v>
      </c>
      <c r="F249" s="240">
        <v>-459601</v>
      </c>
      <c r="G249" s="240">
        <v>0</v>
      </c>
      <c r="H249" s="240">
        <v>0</v>
      </c>
    </row>
    <row r="250" spans="1:8" ht="15.6" x14ac:dyDescent="0.3">
      <c r="A250" s="237">
        <v>38000</v>
      </c>
      <c r="B250" s="209" t="s">
        <v>821</v>
      </c>
      <c r="C250" s="239">
        <v>-21797224</v>
      </c>
      <c r="D250" s="240">
        <v>-14954645</v>
      </c>
      <c r="E250" s="240">
        <v>-15298594</v>
      </c>
      <c r="F250" s="240">
        <v>-9175135</v>
      </c>
      <c r="G250" s="240">
        <v>0</v>
      </c>
      <c r="H250" s="240">
        <v>0</v>
      </c>
    </row>
    <row r="251" spans="1:8" ht="15.6" x14ac:dyDescent="0.3">
      <c r="A251" s="237">
        <v>38005</v>
      </c>
      <c r="B251" s="209" t="s">
        <v>822</v>
      </c>
      <c r="C251" s="239">
        <v>-3072867</v>
      </c>
      <c r="D251" s="240">
        <v>-1715138</v>
      </c>
      <c r="E251" s="240">
        <v>-2188584</v>
      </c>
      <c r="F251" s="240">
        <v>-1021601</v>
      </c>
      <c r="G251" s="240">
        <v>0</v>
      </c>
      <c r="H251" s="240">
        <v>0</v>
      </c>
    </row>
    <row r="252" spans="1:8" ht="15.6" x14ac:dyDescent="0.3">
      <c r="A252" s="237">
        <v>38100</v>
      </c>
      <c r="B252" s="209" t="s">
        <v>823</v>
      </c>
      <c r="C252" s="239">
        <v>-9392463</v>
      </c>
      <c r="D252" s="240">
        <v>-6628290</v>
      </c>
      <c r="E252" s="240">
        <v>-6994793</v>
      </c>
      <c r="F252" s="240">
        <v>-4170427</v>
      </c>
      <c r="G252" s="240">
        <v>0</v>
      </c>
      <c r="H252" s="240">
        <v>0</v>
      </c>
    </row>
    <row r="253" spans="1:8" ht="15.6" x14ac:dyDescent="0.3">
      <c r="A253" s="237">
        <v>38105</v>
      </c>
      <c r="B253" s="209" t="s">
        <v>824</v>
      </c>
      <c r="C253" s="239">
        <v>-1794898</v>
      </c>
      <c r="D253" s="240">
        <v>-1223511</v>
      </c>
      <c r="E253" s="240">
        <v>-1238064</v>
      </c>
      <c r="F253" s="240">
        <v>-716935</v>
      </c>
      <c r="G253" s="240">
        <v>0</v>
      </c>
      <c r="H253" s="240">
        <v>0</v>
      </c>
    </row>
    <row r="254" spans="1:8" ht="15.6" x14ac:dyDescent="0.3">
      <c r="A254" s="237">
        <v>38200</v>
      </c>
      <c r="B254" s="209" t="s">
        <v>825</v>
      </c>
      <c r="C254" s="239">
        <v>-9235220</v>
      </c>
      <c r="D254" s="240">
        <v>-5683253</v>
      </c>
      <c r="E254" s="240">
        <v>-5798512</v>
      </c>
      <c r="F254" s="240">
        <v>-2741745</v>
      </c>
      <c r="G254" s="240">
        <v>0</v>
      </c>
      <c r="H254" s="240">
        <v>0</v>
      </c>
    </row>
    <row r="255" spans="1:8" ht="15.6" x14ac:dyDescent="0.3">
      <c r="A255" s="237">
        <v>38205</v>
      </c>
      <c r="B255" s="209" t="s">
        <v>826</v>
      </c>
      <c r="C255" s="239">
        <v>-1098731</v>
      </c>
      <c r="D255" s="240">
        <v>-752128</v>
      </c>
      <c r="E255" s="240">
        <v>-839222</v>
      </c>
      <c r="F255" s="240">
        <v>-589101</v>
      </c>
      <c r="G255" s="240">
        <v>0</v>
      </c>
      <c r="H255" s="240">
        <v>0</v>
      </c>
    </row>
    <row r="256" spans="1:8" ht="15.6" x14ac:dyDescent="0.3">
      <c r="A256" s="237">
        <v>38210</v>
      </c>
      <c r="B256" s="209" t="s">
        <v>827</v>
      </c>
      <c r="C256" s="239">
        <v>-3368833</v>
      </c>
      <c r="D256" s="240">
        <v>-2151732</v>
      </c>
      <c r="E256" s="240">
        <v>-2191865</v>
      </c>
      <c r="F256" s="240">
        <v>-1031836</v>
      </c>
      <c r="G256" s="240">
        <v>0</v>
      </c>
      <c r="H256" s="240">
        <v>0</v>
      </c>
    </row>
    <row r="257" spans="1:8" ht="15.6" x14ac:dyDescent="0.3">
      <c r="A257" s="237">
        <v>38300</v>
      </c>
      <c r="B257" s="209" t="s">
        <v>828</v>
      </c>
      <c r="C257" s="239">
        <v>-7348066</v>
      </c>
      <c r="D257" s="240">
        <v>-4663234</v>
      </c>
      <c r="E257" s="240">
        <v>-4426324</v>
      </c>
      <c r="F257" s="240">
        <v>-2485387</v>
      </c>
      <c r="G257" s="240">
        <v>0</v>
      </c>
      <c r="H257" s="240">
        <v>0</v>
      </c>
    </row>
    <row r="258" spans="1:8" ht="15.6" x14ac:dyDescent="0.3">
      <c r="A258" s="237">
        <v>38400</v>
      </c>
      <c r="B258" s="209" t="s">
        <v>829</v>
      </c>
      <c r="C258" s="239">
        <v>-8927961</v>
      </c>
      <c r="D258" s="240">
        <v>-5763568</v>
      </c>
      <c r="E258" s="240">
        <v>-5395076</v>
      </c>
      <c r="F258" s="240">
        <v>-3669709</v>
      </c>
      <c r="G258" s="240">
        <v>0</v>
      </c>
      <c r="H258" s="240">
        <v>0</v>
      </c>
    </row>
    <row r="259" spans="1:8" ht="15.6" x14ac:dyDescent="0.3">
      <c r="A259" s="237">
        <v>38402</v>
      </c>
      <c r="B259" s="209" t="s">
        <v>830</v>
      </c>
      <c r="C259" s="239">
        <v>-28579</v>
      </c>
      <c r="D259" s="240">
        <v>-368209</v>
      </c>
      <c r="E259" s="240">
        <v>-546577</v>
      </c>
      <c r="F259" s="240">
        <v>-314025</v>
      </c>
      <c r="G259" s="240">
        <v>0</v>
      </c>
      <c r="H259" s="240">
        <v>0</v>
      </c>
    </row>
    <row r="260" spans="1:8" ht="15.6" x14ac:dyDescent="0.3">
      <c r="A260" s="237">
        <v>38405</v>
      </c>
      <c r="B260" s="209" t="s">
        <v>831</v>
      </c>
      <c r="C260" s="239">
        <v>-2165622</v>
      </c>
      <c r="D260" s="240">
        <v>-1894987</v>
      </c>
      <c r="E260" s="240">
        <v>-1590836</v>
      </c>
      <c r="F260" s="240">
        <v>-947289</v>
      </c>
      <c r="G260" s="240">
        <v>0</v>
      </c>
      <c r="H260" s="240">
        <v>0</v>
      </c>
    </row>
    <row r="261" spans="1:8" ht="15.6" x14ac:dyDescent="0.3">
      <c r="A261" s="237">
        <v>38500</v>
      </c>
      <c r="B261" s="209" t="s">
        <v>832</v>
      </c>
      <c r="C261" s="239">
        <v>-6913215</v>
      </c>
      <c r="D261" s="240">
        <v>-4225098</v>
      </c>
      <c r="E261" s="240">
        <v>-4015482</v>
      </c>
      <c r="F261" s="240">
        <v>-2035362</v>
      </c>
      <c r="G261" s="240">
        <v>0</v>
      </c>
      <c r="H261" s="240">
        <v>0</v>
      </c>
    </row>
    <row r="262" spans="1:8" ht="15.6" x14ac:dyDescent="0.3">
      <c r="A262" s="237">
        <v>38600</v>
      </c>
      <c r="B262" s="209" t="s">
        <v>833</v>
      </c>
      <c r="C262" s="239">
        <v>-9343566</v>
      </c>
      <c r="D262" s="240">
        <v>-5988080</v>
      </c>
      <c r="E262" s="240">
        <v>-6043523</v>
      </c>
      <c r="F262" s="240">
        <v>-3000172</v>
      </c>
      <c r="G262" s="240">
        <v>0</v>
      </c>
      <c r="H262" s="240">
        <v>0</v>
      </c>
    </row>
    <row r="263" spans="1:8" ht="15.6" x14ac:dyDescent="0.3">
      <c r="A263" s="237">
        <v>38601</v>
      </c>
      <c r="B263" s="209" t="s">
        <v>834</v>
      </c>
      <c r="C263" s="239">
        <v>-235274</v>
      </c>
      <c r="D263" s="240">
        <v>-254946</v>
      </c>
      <c r="E263" s="240">
        <v>-263224</v>
      </c>
      <c r="F263" s="240">
        <v>-270997</v>
      </c>
      <c r="G263" s="240">
        <v>0</v>
      </c>
      <c r="H263" s="240">
        <v>0</v>
      </c>
    </row>
    <row r="264" spans="1:8" ht="15.6" x14ac:dyDescent="0.3">
      <c r="A264" s="237">
        <v>38602</v>
      </c>
      <c r="B264" s="209" t="s">
        <v>835</v>
      </c>
      <c r="C264" s="239">
        <v>-533477</v>
      </c>
      <c r="D264" s="240">
        <v>-474394</v>
      </c>
      <c r="E264" s="240">
        <v>-512882</v>
      </c>
      <c r="F264" s="240">
        <v>-368183</v>
      </c>
      <c r="G264" s="240">
        <v>0</v>
      </c>
      <c r="H264" s="240">
        <v>0</v>
      </c>
    </row>
    <row r="265" spans="1:8" ht="15.6" x14ac:dyDescent="0.3">
      <c r="A265" s="237">
        <v>38605</v>
      </c>
      <c r="B265" s="209" t="s">
        <v>836</v>
      </c>
      <c r="C265" s="239">
        <v>-2400579</v>
      </c>
      <c r="D265" s="240">
        <v>-1660196</v>
      </c>
      <c r="E265" s="240">
        <v>-1562745</v>
      </c>
      <c r="F265" s="240">
        <v>-634195</v>
      </c>
      <c r="G265" s="240">
        <v>0</v>
      </c>
      <c r="H265" s="240">
        <v>0</v>
      </c>
    </row>
    <row r="266" spans="1:8" ht="15.6" x14ac:dyDescent="0.3">
      <c r="A266" s="237">
        <v>38610</v>
      </c>
      <c r="B266" s="209" t="s">
        <v>837</v>
      </c>
      <c r="C266" s="239">
        <v>-1469806</v>
      </c>
      <c r="D266" s="240">
        <v>-825898</v>
      </c>
      <c r="E266" s="240">
        <v>-1068949</v>
      </c>
      <c r="F266" s="240">
        <v>-674573</v>
      </c>
      <c r="G266" s="240">
        <v>0</v>
      </c>
      <c r="H266" s="240">
        <v>0</v>
      </c>
    </row>
    <row r="267" spans="1:8" ht="15.6" x14ac:dyDescent="0.3">
      <c r="A267" s="237">
        <v>38620</v>
      </c>
      <c r="B267" s="209" t="s">
        <v>838</v>
      </c>
      <c r="C267" s="239">
        <v>-1350042</v>
      </c>
      <c r="D267" s="240">
        <v>-754866</v>
      </c>
      <c r="E267" s="240">
        <v>-658656</v>
      </c>
      <c r="F267" s="240">
        <v>-285923</v>
      </c>
      <c r="G267" s="240">
        <v>0</v>
      </c>
      <c r="H267" s="240">
        <v>0</v>
      </c>
    </row>
    <row r="268" spans="1:8" ht="15.6" x14ac:dyDescent="0.3">
      <c r="A268" s="237">
        <v>38700</v>
      </c>
      <c r="B268" s="209" t="s">
        <v>839</v>
      </c>
      <c r="C268" s="239">
        <v>-2701139</v>
      </c>
      <c r="D268" s="240">
        <v>-1706724</v>
      </c>
      <c r="E268" s="240">
        <v>-1788610</v>
      </c>
      <c r="F268" s="240">
        <v>-898163</v>
      </c>
      <c r="G268" s="240">
        <v>0</v>
      </c>
      <c r="H268" s="240">
        <v>0</v>
      </c>
    </row>
    <row r="269" spans="1:8" ht="15.6" x14ac:dyDescent="0.3">
      <c r="A269" s="237">
        <v>38701</v>
      </c>
      <c r="B269" s="209" t="s">
        <v>840</v>
      </c>
      <c r="C269" s="239">
        <v>-115838</v>
      </c>
      <c r="D269" s="240">
        <v>-52184</v>
      </c>
      <c r="E269" s="240">
        <v>-77356</v>
      </c>
      <c r="F269" s="240">
        <v>-29260</v>
      </c>
      <c r="G269" s="240">
        <v>0</v>
      </c>
      <c r="H269" s="240">
        <v>0</v>
      </c>
    </row>
    <row r="270" spans="1:8" ht="15.6" x14ac:dyDescent="0.3">
      <c r="A270" s="237">
        <v>38800</v>
      </c>
      <c r="B270" s="209" t="s">
        <v>841</v>
      </c>
      <c r="C270" s="239">
        <v>-4324816</v>
      </c>
      <c r="D270" s="240">
        <v>-2635241</v>
      </c>
      <c r="E270" s="240">
        <v>-2652790</v>
      </c>
      <c r="F270" s="240">
        <v>-1340564</v>
      </c>
      <c r="G270" s="240">
        <v>0</v>
      </c>
      <c r="H270" s="240">
        <v>0</v>
      </c>
    </row>
    <row r="271" spans="1:8" ht="15.6" x14ac:dyDescent="0.3">
      <c r="A271" s="237">
        <v>38801</v>
      </c>
      <c r="B271" s="209" t="s">
        <v>842</v>
      </c>
      <c r="C271" s="239">
        <v>-303559</v>
      </c>
      <c r="D271" s="240">
        <v>-209815</v>
      </c>
      <c r="E271" s="240">
        <v>-135921</v>
      </c>
      <c r="F271" s="240">
        <v>-174211</v>
      </c>
      <c r="G271" s="240">
        <v>0</v>
      </c>
      <c r="H271" s="240">
        <v>0</v>
      </c>
    </row>
    <row r="272" spans="1:8" ht="15.6" x14ac:dyDescent="0.3">
      <c r="A272" s="237">
        <v>38900</v>
      </c>
      <c r="B272" s="209" t="s">
        <v>843</v>
      </c>
      <c r="C272" s="239">
        <v>-862001</v>
      </c>
      <c r="D272" s="240">
        <v>-554456</v>
      </c>
      <c r="E272" s="240">
        <v>-549372</v>
      </c>
      <c r="F272" s="240">
        <v>-430225</v>
      </c>
      <c r="G272" s="240">
        <v>0</v>
      </c>
      <c r="H272" s="240">
        <v>0</v>
      </c>
    </row>
    <row r="273" spans="1:8" ht="15.6" x14ac:dyDescent="0.3">
      <c r="A273" s="237">
        <v>39000</v>
      </c>
      <c r="B273" s="209" t="s">
        <v>844</v>
      </c>
      <c r="C273" s="239">
        <v>-49335555</v>
      </c>
      <c r="D273" s="240">
        <v>-30459894</v>
      </c>
      <c r="E273" s="240">
        <v>-33178333</v>
      </c>
      <c r="F273" s="240">
        <v>-20846095</v>
      </c>
      <c r="G273" s="240">
        <v>0</v>
      </c>
      <c r="H273" s="240">
        <v>0</v>
      </c>
    </row>
    <row r="274" spans="1:8" ht="15.6" x14ac:dyDescent="0.3">
      <c r="A274" s="237">
        <v>39100</v>
      </c>
      <c r="B274" s="209" t="s">
        <v>845</v>
      </c>
      <c r="C274" s="239">
        <v>-8791517</v>
      </c>
      <c r="D274" s="240">
        <v>-6190452</v>
      </c>
      <c r="E274" s="240">
        <v>-5245002</v>
      </c>
      <c r="F274" s="240">
        <v>-3188743</v>
      </c>
      <c r="G274" s="240">
        <v>0</v>
      </c>
      <c r="H274" s="240">
        <v>0</v>
      </c>
    </row>
    <row r="275" spans="1:8" ht="15.6" x14ac:dyDescent="0.3">
      <c r="A275" s="237">
        <v>39101</v>
      </c>
      <c r="B275" s="209" t="s">
        <v>846</v>
      </c>
      <c r="C275" s="239">
        <v>-216272</v>
      </c>
      <c r="D275" s="240">
        <v>-124987</v>
      </c>
      <c r="E275" s="240">
        <v>-346688</v>
      </c>
      <c r="F275" s="240">
        <v>-204892</v>
      </c>
      <c r="G275" s="240">
        <v>0</v>
      </c>
      <c r="H275" s="240">
        <v>0</v>
      </c>
    </row>
    <row r="276" spans="1:8" ht="15.6" x14ac:dyDescent="0.3">
      <c r="A276" s="237">
        <v>39105</v>
      </c>
      <c r="B276" s="209" t="s">
        <v>847</v>
      </c>
      <c r="C276" s="239">
        <v>-3434401</v>
      </c>
      <c r="D276" s="240">
        <v>-2573425</v>
      </c>
      <c r="E276" s="240">
        <v>-1837694</v>
      </c>
      <c r="F276" s="240">
        <v>-1036127</v>
      </c>
      <c r="G276" s="240">
        <v>0</v>
      </c>
      <c r="H276" s="240">
        <v>0</v>
      </c>
    </row>
    <row r="277" spans="1:8" ht="15.6" x14ac:dyDescent="0.3">
      <c r="A277" s="237">
        <v>39200</v>
      </c>
      <c r="B277" s="209" t="s">
        <v>848</v>
      </c>
      <c r="C277" s="239">
        <v>-196352232</v>
      </c>
      <c r="D277" s="240">
        <v>-130192322</v>
      </c>
      <c r="E277" s="240">
        <v>-141400749</v>
      </c>
      <c r="F277" s="240">
        <v>-88993542</v>
      </c>
      <c r="G277" s="240">
        <v>0</v>
      </c>
      <c r="H277" s="240">
        <v>0</v>
      </c>
    </row>
    <row r="278" spans="1:8" ht="15.6" x14ac:dyDescent="0.3">
      <c r="A278" s="237">
        <v>39201</v>
      </c>
      <c r="B278" s="209" t="s">
        <v>849</v>
      </c>
      <c r="C278" s="239">
        <v>-493878</v>
      </c>
      <c r="D278" s="240">
        <v>-262612</v>
      </c>
      <c r="E278" s="240">
        <v>-189408</v>
      </c>
      <c r="F278" s="240">
        <v>31533</v>
      </c>
      <c r="G278" s="240">
        <v>0</v>
      </c>
      <c r="H278" s="240">
        <v>0</v>
      </c>
    </row>
    <row r="279" spans="1:8" ht="15.6" x14ac:dyDescent="0.3">
      <c r="A279" s="237">
        <v>39204</v>
      </c>
      <c r="B279" s="209" t="s">
        <v>850</v>
      </c>
      <c r="C279" s="239">
        <v>-184392</v>
      </c>
      <c r="D279" s="240">
        <v>-264936</v>
      </c>
      <c r="E279" s="240">
        <v>-619969</v>
      </c>
      <c r="F279" s="240">
        <v>-754716</v>
      </c>
      <c r="G279" s="240">
        <v>0</v>
      </c>
      <c r="H279" s="240">
        <v>0</v>
      </c>
    </row>
    <row r="280" spans="1:8" ht="15.6" x14ac:dyDescent="0.3">
      <c r="A280" s="237">
        <v>39205</v>
      </c>
      <c r="B280" s="209" t="s">
        <v>851</v>
      </c>
      <c r="C280" s="239">
        <v>-11752289</v>
      </c>
      <c r="D280" s="240">
        <v>-8344973</v>
      </c>
      <c r="E280" s="240">
        <v>-10379491</v>
      </c>
      <c r="F280" s="240">
        <v>-5138753</v>
      </c>
      <c r="G280" s="240">
        <v>0</v>
      </c>
      <c r="H280" s="240">
        <v>0</v>
      </c>
    </row>
    <row r="281" spans="1:8" ht="15.6" x14ac:dyDescent="0.3">
      <c r="A281" s="237">
        <v>39208</v>
      </c>
      <c r="B281" s="209" t="s">
        <v>852</v>
      </c>
      <c r="C281" s="239">
        <v>-1166973</v>
      </c>
      <c r="D281" s="240">
        <v>-767104</v>
      </c>
      <c r="E281" s="240">
        <v>-792330</v>
      </c>
      <c r="F281" s="240">
        <v>-646729</v>
      </c>
      <c r="G281" s="240">
        <v>0</v>
      </c>
      <c r="H281" s="240">
        <v>0</v>
      </c>
    </row>
    <row r="282" spans="1:8" ht="15.6" x14ac:dyDescent="0.3">
      <c r="A282" s="237">
        <v>39209</v>
      </c>
      <c r="B282" s="209" t="s">
        <v>853</v>
      </c>
      <c r="C282" s="239">
        <v>-1372398</v>
      </c>
      <c r="D282" s="240">
        <v>-1312887</v>
      </c>
      <c r="E282" s="240">
        <v>-1292094</v>
      </c>
      <c r="F282" s="240">
        <v>-1184324</v>
      </c>
      <c r="G282" s="240">
        <v>0</v>
      </c>
      <c r="H282" s="240">
        <v>0</v>
      </c>
    </row>
    <row r="283" spans="1:8" ht="15.6" x14ac:dyDescent="0.3">
      <c r="A283" s="237">
        <v>39220</v>
      </c>
      <c r="B283" s="209" t="s">
        <v>854</v>
      </c>
      <c r="C283" s="239">
        <v>226917</v>
      </c>
      <c r="D283" s="240">
        <v>282869</v>
      </c>
      <c r="E283" s="240">
        <v>11159</v>
      </c>
      <c r="F283" s="240">
        <v>-126979</v>
      </c>
      <c r="G283" s="240">
        <v>0</v>
      </c>
      <c r="H283" s="240">
        <v>0</v>
      </c>
    </row>
    <row r="284" spans="1:8" ht="15.6" x14ac:dyDescent="0.3">
      <c r="A284" s="237">
        <v>39300</v>
      </c>
      <c r="B284" s="209" t="s">
        <v>855</v>
      </c>
      <c r="C284" s="239">
        <v>-3210267</v>
      </c>
      <c r="D284" s="240">
        <v>-2038034</v>
      </c>
      <c r="E284" s="240">
        <v>-2021685</v>
      </c>
      <c r="F284" s="240">
        <v>-1014985</v>
      </c>
      <c r="G284" s="240">
        <v>0</v>
      </c>
      <c r="H284" s="240">
        <v>0</v>
      </c>
    </row>
    <row r="285" spans="1:8" ht="15.6" x14ac:dyDescent="0.3">
      <c r="A285" s="237">
        <v>39301</v>
      </c>
      <c r="B285" s="209" t="s">
        <v>856</v>
      </c>
      <c r="C285" s="239">
        <v>-269438</v>
      </c>
      <c r="D285" s="240">
        <v>-87231</v>
      </c>
      <c r="E285" s="240">
        <v>-35331</v>
      </c>
      <c r="F285" s="240">
        <v>-35267</v>
      </c>
      <c r="G285" s="240">
        <v>0</v>
      </c>
      <c r="H285" s="240">
        <v>0</v>
      </c>
    </row>
    <row r="286" spans="1:8" ht="15.6" x14ac:dyDescent="0.3">
      <c r="A286" s="237">
        <v>39400</v>
      </c>
      <c r="B286" s="209" t="s">
        <v>857</v>
      </c>
      <c r="C286" s="239">
        <v>-2312676</v>
      </c>
      <c r="D286" s="240">
        <v>-1930460</v>
      </c>
      <c r="E286" s="240">
        <v>-1555385</v>
      </c>
      <c r="F286" s="240">
        <v>-887263</v>
      </c>
      <c r="G286" s="240">
        <v>0</v>
      </c>
      <c r="H286" s="240">
        <v>0</v>
      </c>
    </row>
    <row r="287" spans="1:8" ht="15.6" x14ac:dyDescent="0.3">
      <c r="A287" s="237">
        <v>39401</v>
      </c>
      <c r="B287" s="209" t="s">
        <v>858</v>
      </c>
      <c r="C287" s="239">
        <v>-340012</v>
      </c>
      <c r="D287" s="240">
        <v>-309295</v>
      </c>
      <c r="E287" s="240">
        <v>-617748</v>
      </c>
      <c r="F287" s="240">
        <v>-725310</v>
      </c>
      <c r="G287" s="240">
        <v>0</v>
      </c>
      <c r="H287" s="240">
        <v>0</v>
      </c>
    </row>
    <row r="288" spans="1:8" ht="15.6" x14ac:dyDescent="0.3">
      <c r="A288" s="237">
        <v>39500</v>
      </c>
      <c r="B288" s="209" t="s">
        <v>859</v>
      </c>
      <c r="C288" s="239">
        <v>-4532951</v>
      </c>
      <c r="D288" s="240">
        <v>-2309509</v>
      </c>
      <c r="E288" s="240">
        <v>-3070117</v>
      </c>
      <c r="F288" s="240">
        <v>-1333373</v>
      </c>
      <c r="G288" s="240">
        <v>0</v>
      </c>
      <c r="H288" s="240">
        <v>0</v>
      </c>
    </row>
    <row r="289" spans="1:8" ht="15.6" x14ac:dyDescent="0.3">
      <c r="A289" s="237">
        <v>39501</v>
      </c>
      <c r="B289" s="209" t="s">
        <v>860</v>
      </c>
      <c r="C289" s="239">
        <v>-213017</v>
      </c>
      <c r="D289" s="240">
        <v>-139405</v>
      </c>
      <c r="E289" s="240">
        <v>-105138</v>
      </c>
      <c r="F289" s="240">
        <v>-61569</v>
      </c>
      <c r="G289" s="240">
        <v>0</v>
      </c>
      <c r="H289" s="240">
        <v>0</v>
      </c>
    </row>
    <row r="290" spans="1:8" ht="15.6" x14ac:dyDescent="0.3">
      <c r="A290" s="237">
        <v>39600</v>
      </c>
      <c r="B290" s="209" t="s">
        <v>861</v>
      </c>
      <c r="C290" s="239">
        <v>-20272701</v>
      </c>
      <c r="D290" s="240">
        <v>-14180869</v>
      </c>
      <c r="E290" s="240">
        <v>-14812537</v>
      </c>
      <c r="F290" s="240">
        <v>-10199767</v>
      </c>
      <c r="G290" s="240">
        <v>0</v>
      </c>
      <c r="H290" s="240">
        <v>0</v>
      </c>
    </row>
    <row r="291" spans="1:8" ht="15.6" x14ac:dyDescent="0.3">
      <c r="A291" s="237">
        <v>39605</v>
      </c>
      <c r="B291" s="209" t="s">
        <v>862</v>
      </c>
      <c r="C291" s="239">
        <v>-2236745</v>
      </c>
      <c r="D291" s="240">
        <v>-1805957</v>
      </c>
      <c r="E291" s="240">
        <v>-1851306</v>
      </c>
      <c r="F291" s="240">
        <v>-987281</v>
      </c>
      <c r="G291" s="240">
        <v>0</v>
      </c>
      <c r="H291" s="240">
        <v>0</v>
      </c>
    </row>
    <row r="292" spans="1:8" ht="15.6" x14ac:dyDescent="0.3">
      <c r="A292" s="237">
        <v>39700</v>
      </c>
      <c r="B292" s="209" t="s">
        <v>863</v>
      </c>
      <c r="C292" s="239">
        <v>-12025572</v>
      </c>
      <c r="D292" s="240">
        <v>-7398351</v>
      </c>
      <c r="E292" s="240">
        <v>-7517440</v>
      </c>
      <c r="F292" s="240">
        <v>-4379457</v>
      </c>
      <c r="G292" s="240">
        <v>0</v>
      </c>
      <c r="H292" s="240">
        <v>0</v>
      </c>
    </row>
    <row r="293" spans="1:8" ht="15.6" x14ac:dyDescent="0.3">
      <c r="A293" s="237">
        <v>39703</v>
      </c>
      <c r="B293" s="209" t="s">
        <v>864</v>
      </c>
      <c r="C293" s="239">
        <v>-142143</v>
      </c>
      <c r="D293" s="240">
        <v>-326074</v>
      </c>
      <c r="E293" s="240">
        <v>-621515</v>
      </c>
      <c r="F293" s="240">
        <v>-367980</v>
      </c>
      <c r="G293" s="240">
        <v>0</v>
      </c>
      <c r="H293" s="240">
        <v>0</v>
      </c>
    </row>
    <row r="294" spans="1:8" ht="15.6" x14ac:dyDescent="0.3">
      <c r="A294" s="237">
        <v>39705</v>
      </c>
      <c r="B294" s="209" t="s">
        <v>865</v>
      </c>
      <c r="C294" s="239">
        <v>-2083410</v>
      </c>
      <c r="D294" s="240">
        <v>-1431222</v>
      </c>
      <c r="E294" s="240">
        <v>-1630946</v>
      </c>
      <c r="F294" s="240">
        <v>-902730</v>
      </c>
      <c r="G294" s="240">
        <v>0</v>
      </c>
      <c r="H294" s="240">
        <v>0</v>
      </c>
    </row>
    <row r="295" spans="1:8" ht="15.6" x14ac:dyDescent="0.3">
      <c r="A295" s="237">
        <v>39800</v>
      </c>
      <c r="B295" s="209" t="s">
        <v>866</v>
      </c>
      <c r="C295" s="239">
        <v>-13299795</v>
      </c>
      <c r="D295" s="240">
        <v>-9649125</v>
      </c>
      <c r="E295" s="240">
        <v>-8629780</v>
      </c>
      <c r="F295" s="240">
        <v>-4645895</v>
      </c>
      <c r="G295" s="240">
        <v>0</v>
      </c>
      <c r="H295" s="240">
        <v>0</v>
      </c>
    </row>
    <row r="296" spans="1:8" ht="15.6" x14ac:dyDescent="0.3">
      <c r="A296" s="237">
        <v>39805</v>
      </c>
      <c r="B296" s="209" t="s">
        <v>867</v>
      </c>
      <c r="C296" s="239">
        <v>-1309307</v>
      </c>
      <c r="D296" s="240">
        <v>-843899</v>
      </c>
      <c r="E296" s="240">
        <v>-1064178</v>
      </c>
      <c r="F296" s="240">
        <v>-513955</v>
      </c>
      <c r="G296" s="240">
        <v>0</v>
      </c>
      <c r="H296" s="240">
        <v>0</v>
      </c>
    </row>
    <row r="297" spans="1:8" ht="15.6" x14ac:dyDescent="0.3">
      <c r="A297" s="237">
        <v>39900</v>
      </c>
      <c r="B297" s="209" t="s">
        <v>868</v>
      </c>
      <c r="C297" s="239">
        <v>-6364120</v>
      </c>
      <c r="D297" s="240">
        <v>-4056239</v>
      </c>
      <c r="E297" s="240">
        <v>-3937470</v>
      </c>
      <c r="F297" s="240">
        <v>-1779093</v>
      </c>
      <c r="G297" s="240">
        <v>0</v>
      </c>
      <c r="H297" s="240">
        <v>0</v>
      </c>
    </row>
    <row r="298" spans="1:8" ht="15.6" x14ac:dyDescent="0.3">
      <c r="A298" s="237">
        <v>40000</v>
      </c>
      <c r="B298" s="209" t="s">
        <v>869</v>
      </c>
      <c r="C298" s="239">
        <v>-5157233</v>
      </c>
      <c r="D298" s="240">
        <v>701489</v>
      </c>
      <c r="E298" s="240">
        <v>-3521797</v>
      </c>
      <c r="F298" s="240">
        <v>-2307083</v>
      </c>
      <c r="G298" s="240">
        <v>0</v>
      </c>
      <c r="H298" s="240">
        <v>0</v>
      </c>
    </row>
    <row r="299" spans="1:8" ht="15.6" x14ac:dyDescent="0.3">
      <c r="A299" s="237">
        <v>51000</v>
      </c>
      <c r="B299" s="209" t="s">
        <v>870</v>
      </c>
      <c r="C299" s="239">
        <v>-81370505</v>
      </c>
      <c r="D299" s="240">
        <v>-45741503</v>
      </c>
      <c r="E299" s="240">
        <v>-51110668</v>
      </c>
      <c r="F299" s="240">
        <v>-41811600</v>
      </c>
      <c r="G299" s="240">
        <v>0</v>
      </c>
      <c r="H299" s="240">
        <v>0</v>
      </c>
    </row>
    <row r="300" spans="1:8" ht="15.6" x14ac:dyDescent="0.3">
      <c r="A300" s="238">
        <v>51000.2</v>
      </c>
      <c r="B300" s="209" t="s">
        <v>871</v>
      </c>
      <c r="C300" s="239">
        <v>86964</v>
      </c>
      <c r="D300" s="240">
        <v>83964</v>
      </c>
      <c r="E300" s="240">
        <v>9494</v>
      </c>
      <c r="F300" s="240">
        <v>87783</v>
      </c>
      <c r="G300" s="240">
        <v>0</v>
      </c>
      <c r="H300" s="240">
        <v>0</v>
      </c>
    </row>
    <row r="301" spans="1:8" ht="15.6" x14ac:dyDescent="0.3">
      <c r="A301" s="238">
        <v>51000.3</v>
      </c>
      <c r="B301" s="209" t="s">
        <v>872</v>
      </c>
      <c r="C301" s="239">
        <v>-1080900</v>
      </c>
      <c r="D301" s="240">
        <v>-567043</v>
      </c>
      <c r="E301" s="240">
        <v>-900554</v>
      </c>
      <c r="F301" s="240">
        <v>-605715</v>
      </c>
      <c r="G301" s="240">
        <v>0</v>
      </c>
      <c r="H301" s="240">
        <v>0</v>
      </c>
    </row>
    <row r="302" spans="1:8" ht="15.6" x14ac:dyDescent="0.3">
      <c r="A302" s="237">
        <v>60000</v>
      </c>
      <c r="B302" s="209" t="s">
        <v>873</v>
      </c>
      <c r="C302" s="239">
        <v>-217502</v>
      </c>
      <c r="D302" s="240">
        <v>-62544</v>
      </c>
      <c r="E302" s="240">
        <v>-280410</v>
      </c>
      <c r="F302" s="240">
        <v>-166020</v>
      </c>
      <c r="G302" s="240">
        <v>0</v>
      </c>
      <c r="H302" s="240">
        <v>0</v>
      </c>
    </row>
    <row r="303" spans="1:8" ht="15.6" x14ac:dyDescent="0.3">
      <c r="A303" s="237">
        <v>90901</v>
      </c>
      <c r="B303" s="209" t="s">
        <v>874</v>
      </c>
      <c r="C303" s="239">
        <v>-2380370</v>
      </c>
      <c r="D303" s="240">
        <v>-1290147</v>
      </c>
      <c r="E303" s="240">
        <v>-1961987</v>
      </c>
      <c r="F303" s="240">
        <v>-1029475</v>
      </c>
      <c r="G303" s="240">
        <v>0</v>
      </c>
      <c r="H303" s="240">
        <v>0</v>
      </c>
    </row>
    <row r="304" spans="1:8" ht="15.6" x14ac:dyDescent="0.3">
      <c r="A304" s="237">
        <v>91041</v>
      </c>
      <c r="B304" s="209" t="s">
        <v>875</v>
      </c>
      <c r="C304" s="239">
        <v>-367710</v>
      </c>
      <c r="D304" s="240">
        <v>-231251</v>
      </c>
      <c r="E304" s="240">
        <v>-336942</v>
      </c>
      <c r="F304" s="240">
        <v>-228584</v>
      </c>
      <c r="G304" s="240">
        <v>0</v>
      </c>
      <c r="H304" s="240">
        <v>0</v>
      </c>
    </row>
    <row r="305" spans="1:8" ht="15.6" x14ac:dyDescent="0.3">
      <c r="A305" s="237">
        <v>91111</v>
      </c>
      <c r="B305" s="209" t="s">
        <v>876</v>
      </c>
      <c r="C305" s="239">
        <v>-275250</v>
      </c>
      <c r="D305" s="240">
        <v>-149506</v>
      </c>
      <c r="E305" s="240">
        <v>-164105</v>
      </c>
      <c r="F305" s="240">
        <v>-54005</v>
      </c>
      <c r="G305" s="240">
        <v>0</v>
      </c>
      <c r="H305" s="240">
        <v>0</v>
      </c>
    </row>
    <row r="306" spans="1:8" ht="15.6" x14ac:dyDescent="0.3">
      <c r="A306" s="237">
        <v>91151</v>
      </c>
      <c r="B306" s="209" t="s">
        <v>877</v>
      </c>
      <c r="C306" s="239">
        <v>-620641</v>
      </c>
      <c r="D306" s="240">
        <v>-254167</v>
      </c>
      <c r="E306" s="240">
        <v>-382166</v>
      </c>
      <c r="F306" s="240">
        <v>-156948</v>
      </c>
      <c r="G306" s="240">
        <v>0</v>
      </c>
      <c r="H306" s="240">
        <v>0</v>
      </c>
    </row>
    <row r="307" spans="1:8" ht="15.6" x14ac:dyDescent="0.3">
      <c r="A307" s="237">
        <v>98101</v>
      </c>
      <c r="B307" s="209" t="s">
        <v>878</v>
      </c>
      <c r="C307" s="239">
        <v>-2921844</v>
      </c>
      <c r="D307" s="240">
        <v>-1288494</v>
      </c>
      <c r="E307" s="240">
        <v>-1911203</v>
      </c>
      <c r="F307" s="240">
        <v>-1098078</v>
      </c>
      <c r="G307" s="240">
        <v>0</v>
      </c>
      <c r="H307" s="240">
        <v>0</v>
      </c>
    </row>
    <row r="308" spans="1:8" ht="15.6" x14ac:dyDescent="0.3">
      <c r="A308" s="237">
        <v>98103</v>
      </c>
      <c r="B308" s="209" t="s">
        <v>879</v>
      </c>
      <c r="C308" s="239">
        <v>-540259</v>
      </c>
      <c r="D308" s="240">
        <v>-240622</v>
      </c>
      <c r="E308" s="240">
        <v>-332178</v>
      </c>
      <c r="F308" s="240">
        <v>-281725</v>
      </c>
      <c r="G308" s="240">
        <v>0</v>
      </c>
      <c r="H308" s="240">
        <v>0</v>
      </c>
    </row>
    <row r="309" spans="1:8" ht="15.6" x14ac:dyDescent="0.3">
      <c r="A309" s="237">
        <v>98111</v>
      </c>
      <c r="B309" s="209" t="s">
        <v>880</v>
      </c>
      <c r="C309" s="239">
        <v>-1051319</v>
      </c>
      <c r="D309" s="240">
        <v>-631367</v>
      </c>
      <c r="E309" s="240">
        <v>-820373</v>
      </c>
      <c r="F309" s="240">
        <v>-507672</v>
      </c>
      <c r="G309" s="240">
        <v>0</v>
      </c>
      <c r="H309" s="240">
        <v>0</v>
      </c>
    </row>
    <row r="310" spans="1:8" ht="15.6" x14ac:dyDescent="0.3">
      <c r="A310" s="237">
        <v>98131</v>
      </c>
      <c r="B310" s="209" t="s">
        <v>881</v>
      </c>
      <c r="C310" s="239">
        <v>-270146</v>
      </c>
      <c r="D310" s="240">
        <v>-95317</v>
      </c>
      <c r="E310" s="240">
        <v>-146701</v>
      </c>
      <c r="F310" s="240">
        <v>-117978</v>
      </c>
      <c r="G310" s="240">
        <v>0</v>
      </c>
      <c r="H310" s="240">
        <v>0</v>
      </c>
    </row>
    <row r="311" spans="1:8" ht="15.6" x14ac:dyDescent="0.3">
      <c r="A311" s="237">
        <v>99401</v>
      </c>
      <c r="B311" s="209" t="s">
        <v>882</v>
      </c>
      <c r="C311" s="239">
        <v>-1041880</v>
      </c>
      <c r="D311" s="240">
        <v>-441624</v>
      </c>
      <c r="E311" s="240">
        <v>-562045</v>
      </c>
      <c r="F311" s="240">
        <v>-247386</v>
      </c>
      <c r="G311" s="240">
        <v>0</v>
      </c>
      <c r="H311" s="240">
        <v>0</v>
      </c>
    </row>
    <row r="312" spans="1:8" ht="15.6" x14ac:dyDescent="0.3">
      <c r="A312" s="237">
        <v>99521</v>
      </c>
      <c r="B312" s="209" t="s">
        <v>883</v>
      </c>
      <c r="C312" s="239">
        <v>-254376</v>
      </c>
      <c r="D312" s="240">
        <v>-124372</v>
      </c>
      <c r="E312" s="240">
        <v>-280838</v>
      </c>
      <c r="F312" s="240">
        <v>-114243</v>
      </c>
      <c r="G312" s="240">
        <v>0</v>
      </c>
      <c r="H312" s="240">
        <v>0</v>
      </c>
    </row>
    <row r="313" spans="1:8" ht="16.2" thickBot="1" x14ac:dyDescent="0.35">
      <c r="A313" s="237">
        <v>99831</v>
      </c>
      <c r="B313" s="209" t="s">
        <v>884</v>
      </c>
      <c r="C313" s="241">
        <v>-113717</v>
      </c>
      <c r="D313" s="242">
        <v>-63182</v>
      </c>
      <c r="E313" s="242">
        <v>-80588</v>
      </c>
      <c r="F313" s="242">
        <v>-78140</v>
      </c>
      <c r="G313" s="242">
        <v>0</v>
      </c>
      <c r="H313" s="242">
        <v>0</v>
      </c>
    </row>
    <row r="314" spans="1:8" ht="16.2" thickBot="1" x14ac:dyDescent="0.35">
      <c r="A314" s="247"/>
    </row>
    <row r="315" spans="1:8" x14ac:dyDescent="0.25">
      <c r="C315" s="6">
        <f>SUM(C4:C314)</f>
        <v>-2995438531</v>
      </c>
      <c r="D315" s="6">
        <f t="shared" ref="D315:H315" si="0">SUM(D4:D314)</f>
        <v>-1962787230</v>
      </c>
      <c r="E315" s="6">
        <f t="shared" si="0"/>
        <v>-2251295895</v>
      </c>
      <c r="F315" s="6">
        <f t="shared" si="0"/>
        <v>-1326507800</v>
      </c>
      <c r="G315" s="6">
        <f t="shared" si="0"/>
        <v>0</v>
      </c>
      <c r="H315" s="6">
        <f t="shared" si="0"/>
        <v>0</v>
      </c>
    </row>
  </sheetData>
  <pageMargins left="0.7" right="0.7" top="0.75" bottom="0.75" header="0.3" footer="0.3"/>
  <pageSetup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8327-B8F5-4072-AAE8-8BE6794EC5DD}">
  <dimension ref="A1:D305"/>
  <sheetViews>
    <sheetView workbookViewId="0">
      <selection activeCell="C3" sqref="C3:C300"/>
    </sheetView>
  </sheetViews>
  <sheetFormatPr defaultRowHeight="13.2" x14ac:dyDescent="0.25"/>
  <cols>
    <col min="1" max="1" width="11.44140625" customWidth="1"/>
    <col min="2" max="2" width="59.6640625" bestFit="1" customWidth="1"/>
    <col min="3" max="3" width="11.77734375" style="6" bestFit="1" customWidth="1"/>
  </cols>
  <sheetData>
    <row r="1" spans="1:3" x14ac:dyDescent="0.25">
      <c r="A1" s="5">
        <v>1</v>
      </c>
      <c r="B1" s="5">
        <v>2</v>
      </c>
      <c r="C1" s="179">
        <v>3</v>
      </c>
    </row>
    <row r="2" spans="1:3" ht="27" thickBot="1" x14ac:dyDescent="0.3">
      <c r="A2" s="243" t="s">
        <v>164</v>
      </c>
      <c r="B2" s="244" t="s">
        <v>165</v>
      </c>
    </row>
    <row r="3" spans="1:3" ht="13.8" x14ac:dyDescent="0.25">
      <c r="A3" s="248">
        <v>10200</v>
      </c>
      <c r="B3" s="249" t="s">
        <v>249</v>
      </c>
      <c r="C3" s="6">
        <v>203051</v>
      </c>
    </row>
    <row r="4" spans="1:3" ht="13.8" x14ac:dyDescent="0.25">
      <c r="A4" s="248">
        <v>10400</v>
      </c>
      <c r="B4" s="249" t="s">
        <v>250</v>
      </c>
      <c r="C4" s="6">
        <v>529226</v>
      </c>
    </row>
    <row r="5" spans="1:3" ht="13.8" x14ac:dyDescent="0.25">
      <c r="A5" s="248">
        <v>10500</v>
      </c>
      <c r="B5" s="249" t="s">
        <v>432</v>
      </c>
      <c r="C5" s="6">
        <v>126860</v>
      </c>
    </row>
    <row r="6" spans="1:3" ht="13.8" x14ac:dyDescent="0.25">
      <c r="A6" s="248">
        <v>10700</v>
      </c>
      <c r="B6" s="249" t="s">
        <v>251</v>
      </c>
      <c r="C6" s="6">
        <v>804028</v>
      </c>
    </row>
    <row r="7" spans="1:3" ht="13.8" x14ac:dyDescent="0.25">
      <c r="A7" s="248">
        <v>10800</v>
      </c>
      <c r="B7" s="249" t="s">
        <v>252</v>
      </c>
      <c r="C7" s="6">
        <v>3334903</v>
      </c>
    </row>
    <row r="8" spans="1:3" ht="13.8" x14ac:dyDescent="0.25">
      <c r="A8" s="248">
        <v>10850</v>
      </c>
      <c r="B8" s="249" t="s">
        <v>433</v>
      </c>
      <c r="C8" s="6">
        <v>23303</v>
      </c>
    </row>
    <row r="9" spans="1:3" ht="13.8" x14ac:dyDescent="0.25">
      <c r="A9" s="250">
        <v>10900</v>
      </c>
      <c r="B9" s="251" t="s">
        <v>253</v>
      </c>
      <c r="C9" s="6">
        <v>274297</v>
      </c>
    </row>
    <row r="10" spans="1:3" ht="13.8" x14ac:dyDescent="0.25">
      <c r="A10" s="250">
        <v>10910</v>
      </c>
      <c r="B10" s="251" t="s">
        <v>434</v>
      </c>
      <c r="C10" s="6">
        <v>76155</v>
      </c>
    </row>
    <row r="11" spans="1:3" ht="13.8" x14ac:dyDescent="0.25">
      <c r="A11" s="250">
        <v>10930</v>
      </c>
      <c r="B11" s="251" t="s">
        <v>435</v>
      </c>
      <c r="C11" s="6">
        <v>892945</v>
      </c>
    </row>
    <row r="12" spans="1:3" ht="13.8" x14ac:dyDescent="0.25">
      <c r="A12" s="250">
        <v>10940</v>
      </c>
      <c r="B12" s="251" t="s">
        <v>502</v>
      </c>
      <c r="C12" s="6">
        <v>115704</v>
      </c>
    </row>
    <row r="13" spans="1:3" ht="13.8" x14ac:dyDescent="0.25">
      <c r="A13" s="250">
        <v>10950</v>
      </c>
      <c r="B13" s="251" t="s">
        <v>436</v>
      </c>
      <c r="C13" s="6">
        <v>154351</v>
      </c>
    </row>
    <row r="14" spans="1:3" ht="13.8" x14ac:dyDescent="0.25">
      <c r="A14" s="250">
        <v>11050</v>
      </c>
      <c r="B14" s="251" t="s">
        <v>437</v>
      </c>
      <c r="C14" s="6">
        <v>38773</v>
      </c>
    </row>
    <row r="15" spans="1:3" ht="13.8" x14ac:dyDescent="0.25">
      <c r="A15" s="248">
        <v>11300</v>
      </c>
      <c r="B15" s="249" t="s">
        <v>438</v>
      </c>
      <c r="C15" s="6">
        <v>770255</v>
      </c>
    </row>
    <row r="16" spans="1:3" ht="13.8" x14ac:dyDescent="0.25">
      <c r="A16" s="248">
        <v>11310</v>
      </c>
      <c r="B16" s="249" t="s">
        <v>439</v>
      </c>
      <c r="C16" s="6">
        <v>92906</v>
      </c>
    </row>
    <row r="17" spans="1:3" ht="13.8" x14ac:dyDescent="0.25">
      <c r="A17" s="248">
        <v>11600</v>
      </c>
      <c r="B17" s="249" t="s">
        <v>254</v>
      </c>
      <c r="C17" s="6">
        <v>407294</v>
      </c>
    </row>
    <row r="18" spans="1:3" ht="13.8" x14ac:dyDescent="0.25">
      <c r="A18" s="248">
        <v>11900</v>
      </c>
      <c r="B18" s="249" t="s">
        <v>255</v>
      </c>
      <c r="C18" s="6">
        <v>67545</v>
      </c>
    </row>
    <row r="19" spans="1:3" ht="13.8" x14ac:dyDescent="0.25">
      <c r="A19" s="248">
        <v>12100</v>
      </c>
      <c r="B19" s="249" t="s">
        <v>440</v>
      </c>
      <c r="C19" s="6">
        <v>47978</v>
      </c>
    </row>
    <row r="20" spans="1:3" ht="13.8" x14ac:dyDescent="0.25">
      <c r="A20" s="248">
        <v>12150</v>
      </c>
      <c r="B20" s="249" t="s">
        <v>441</v>
      </c>
      <c r="C20" s="6">
        <v>1751</v>
      </c>
    </row>
    <row r="21" spans="1:3" ht="13.8" x14ac:dyDescent="0.25">
      <c r="A21" s="250">
        <v>12160</v>
      </c>
      <c r="B21" s="251" t="s">
        <v>256</v>
      </c>
      <c r="C21" s="6">
        <v>308954</v>
      </c>
    </row>
    <row r="22" spans="1:3" ht="13.8" x14ac:dyDescent="0.25">
      <c r="A22" s="250">
        <v>12220</v>
      </c>
      <c r="B22" s="251" t="s">
        <v>442</v>
      </c>
      <c r="C22" s="6">
        <v>7738058</v>
      </c>
    </row>
    <row r="23" spans="1:3" ht="13.8" x14ac:dyDescent="0.25">
      <c r="A23" s="250">
        <v>12510</v>
      </c>
      <c r="B23" s="251" t="s">
        <v>257</v>
      </c>
      <c r="C23" s="6">
        <v>787909</v>
      </c>
    </row>
    <row r="24" spans="1:3" ht="13.8" x14ac:dyDescent="0.25">
      <c r="A24" s="250">
        <v>12600</v>
      </c>
      <c r="B24" s="251" t="s">
        <v>443</v>
      </c>
      <c r="C24" s="6">
        <v>309117</v>
      </c>
    </row>
    <row r="25" spans="1:3" ht="13.8" x14ac:dyDescent="0.25">
      <c r="A25" s="250">
        <v>12700</v>
      </c>
      <c r="B25" s="251" t="s">
        <v>444</v>
      </c>
      <c r="C25" s="6">
        <v>171842</v>
      </c>
    </row>
    <row r="26" spans="1:3" ht="13.8" x14ac:dyDescent="0.25">
      <c r="A26" s="250">
        <v>13500</v>
      </c>
      <c r="B26" s="251" t="s">
        <v>445</v>
      </c>
      <c r="C26" s="6">
        <v>704010</v>
      </c>
    </row>
    <row r="27" spans="1:3" ht="13.8" x14ac:dyDescent="0.25">
      <c r="A27" s="248">
        <v>13700</v>
      </c>
      <c r="B27" s="249" t="s">
        <v>446</v>
      </c>
      <c r="C27" s="6">
        <v>76029</v>
      </c>
    </row>
    <row r="28" spans="1:3" ht="13.8" x14ac:dyDescent="0.25">
      <c r="A28" s="248">
        <v>14300</v>
      </c>
      <c r="B28" s="249" t="s">
        <v>885</v>
      </c>
      <c r="C28" s="6">
        <v>246192</v>
      </c>
    </row>
    <row r="29" spans="1:3" ht="13.8" x14ac:dyDescent="0.25">
      <c r="A29" s="252">
        <v>14300.2</v>
      </c>
      <c r="B29" s="249" t="s">
        <v>886</v>
      </c>
      <c r="C29" s="6">
        <v>31264</v>
      </c>
    </row>
    <row r="30" spans="1:3" ht="13.8" x14ac:dyDescent="0.25">
      <c r="A30" s="248">
        <v>18400</v>
      </c>
      <c r="B30" s="249" t="s">
        <v>449</v>
      </c>
      <c r="C30" s="6">
        <v>860743</v>
      </c>
    </row>
    <row r="31" spans="1:3" ht="13.8" x14ac:dyDescent="0.25">
      <c r="A31" s="248">
        <v>18600</v>
      </c>
      <c r="B31" s="249" t="s">
        <v>450</v>
      </c>
      <c r="C31" s="6">
        <v>2563</v>
      </c>
    </row>
    <row r="32" spans="1:3" ht="13.8" x14ac:dyDescent="0.25">
      <c r="A32" s="248">
        <v>18640</v>
      </c>
      <c r="B32" s="249" t="s">
        <v>244</v>
      </c>
      <c r="C32" s="6">
        <v>343</v>
      </c>
    </row>
    <row r="33" spans="1:3" ht="13.8" x14ac:dyDescent="0.25">
      <c r="A33" s="250">
        <v>18780</v>
      </c>
      <c r="B33" s="251" t="s">
        <v>453</v>
      </c>
      <c r="C33" s="6">
        <v>4097</v>
      </c>
    </row>
    <row r="34" spans="1:3" ht="13.8" x14ac:dyDescent="0.25">
      <c r="A34" s="250">
        <v>19005</v>
      </c>
      <c r="B34" s="251" t="s">
        <v>454</v>
      </c>
      <c r="C34" s="6">
        <v>122040</v>
      </c>
    </row>
    <row r="35" spans="1:3" ht="13.8" x14ac:dyDescent="0.25">
      <c r="A35" s="250">
        <v>19100</v>
      </c>
      <c r="B35" s="251" t="s">
        <v>258</v>
      </c>
      <c r="C35" s="6">
        <v>11267148</v>
      </c>
    </row>
    <row r="36" spans="1:3" ht="13.8" x14ac:dyDescent="0.25">
      <c r="A36" s="250">
        <v>20100</v>
      </c>
      <c r="B36" s="251" t="s">
        <v>37</v>
      </c>
      <c r="C36" s="6">
        <v>1853490</v>
      </c>
    </row>
    <row r="37" spans="1:3" ht="13.8" x14ac:dyDescent="0.25">
      <c r="A37" s="250">
        <v>20200</v>
      </c>
      <c r="B37" s="251" t="s">
        <v>455</v>
      </c>
      <c r="C37" s="6">
        <v>267690</v>
      </c>
    </row>
    <row r="38" spans="1:3" ht="13.8" x14ac:dyDescent="0.25">
      <c r="A38" s="250">
        <v>20300</v>
      </c>
      <c r="B38" s="251" t="s">
        <v>39</v>
      </c>
      <c r="C38" s="6">
        <v>4068695</v>
      </c>
    </row>
    <row r="39" spans="1:3" ht="13.8" x14ac:dyDescent="0.25">
      <c r="A39" s="248">
        <v>20400</v>
      </c>
      <c r="B39" s="249" t="s">
        <v>40</v>
      </c>
      <c r="C39" s="6">
        <v>212582</v>
      </c>
    </row>
    <row r="40" spans="1:3" ht="13.8" x14ac:dyDescent="0.25">
      <c r="A40" s="248">
        <v>20600</v>
      </c>
      <c r="B40" s="249" t="s">
        <v>41</v>
      </c>
      <c r="C40" s="6">
        <v>456409</v>
      </c>
    </row>
    <row r="41" spans="1:3" ht="13.8" x14ac:dyDescent="0.25">
      <c r="A41" s="248">
        <v>20700</v>
      </c>
      <c r="B41" s="249" t="s">
        <v>456</v>
      </c>
      <c r="C41" s="6">
        <v>1060617</v>
      </c>
    </row>
    <row r="42" spans="1:3" ht="13.8" x14ac:dyDescent="0.25">
      <c r="A42" s="248">
        <v>20800</v>
      </c>
      <c r="B42" s="249" t="s">
        <v>457</v>
      </c>
      <c r="C42" s="6">
        <v>764587</v>
      </c>
    </row>
    <row r="43" spans="1:3" ht="13.8" x14ac:dyDescent="0.25">
      <c r="A43" s="248">
        <v>20900</v>
      </c>
      <c r="B43" s="249" t="s">
        <v>44</v>
      </c>
      <c r="C43" s="6">
        <v>1816342</v>
      </c>
    </row>
    <row r="44" spans="1:3" ht="13.8" x14ac:dyDescent="0.25">
      <c r="A44" s="248">
        <v>21200</v>
      </c>
      <c r="B44" s="249" t="s">
        <v>458</v>
      </c>
      <c r="C44" s="6">
        <v>542745</v>
      </c>
    </row>
    <row r="45" spans="1:3" ht="13.8" x14ac:dyDescent="0.25">
      <c r="A45" s="250">
        <v>21300</v>
      </c>
      <c r="B45" s="251" t="s">
        <v>459</v>
      </c>
      <c r="C45" s="6">
        <v>6723903</v>
      </c>
    </row>
    <row r="46" spans="1:3" ht="13.8" x14ac:dyDescent="0.25">
      <c r="A46" s="250">
        <v>21520</v>
      </c>
      <c r="B46" s="251" t="s">
        <v>503</v>
      </c>
      <c r="C46" s="6">
        <v>12942027</v>
      </c>
    </row>
    <row r="47" spans="1:3" ht="13.8" x14ac:dyDescent="0.25">
      <c r="A47" s="250">
        <v>21525</v>
      </c>
      <c r="B47" s="251" t="s">
        <v>485</v>
      </c>
      <c r="C47" s="6">
        <v>341066</v>
      </c>
    </row>
    <row r="48" spans="1:3" ht="13.8" x14ac:dyDescent="0.25">
      <c r="A48" s="253">
        <v>21525.200000000001</v>
      </c>
      <c r="B48" s="251" t="s">
        <v>486</v>
      </c>
      <c r="C48" s="6">
        <v>33430</v>
      </c>
    </row>
    <row r="49" spans="1:3" ht="13.8" x14ac:dyDescent="0.25">
      <c r="A49" s="250">
        <v>21550</v>
      </c>
      <c r="B49" s="251" t="s">
        <v>48</v>
      </c>
      <c r="C49" s="6">
        <v>8334937</v>
      </c>
    </row>
    <row r="50" spans="1:3" ht="13.8" x14ac:dyDescent="0.25">
      <c r="A50" s="250">
        <v>21570</v>
      </c>
      <c r="B50" s="251" t="s">
        <v>259</v>
      </c>
      <c r="C50" s="6">
        <v>35614</v>
      </c>
    </row>
    <row r="51" spans="1:3" ht="13.8" x14ac:dyDescent="0.25">
      <c r="A51" s="248">
        <v>21800</v>
      </c>
      <c r="B51" s="249" t="s">
        <v>49</v>
      </c>
      <c r="C51" s="6">
        <v>1036538</v>
      </c>
    </row>
    <row r="52" spans="1:3" ht="13.8" x14ac:dyDescent="0.25">
      <c r="A52" s="248">
        <v>21900</v>
      </c>
      <c r="B52" s="249" t="s">
        <v>50</v>
      </c>
      <c r="C52" s="6">
        <v>460308</v>
      </c>
    </row>
    <row r="53" spans="1:3" ht="13.8" x14ac:dyDescent="0.25">
      <c r="A53" s="248">
        <v>22000</v>
      </c>
      <c r="B53" s="249" t="s">
        <v>260</v>
      </c>
      <c r="C53" s="6">
        <v>602493</v>
      </c>
    </row>
    <row r="54" spans="1:3" ht="13.8" x14ac:dyDescent="0.25">
      <c r="A54" s="248">
        <v>23000</v>
      </c>
      <c r="B54" s="249" t="s">
        <v>51</v>
      </c>
      <c r="C54" s="6">
        <v>404658</v>
      </c>
    </row>
    <row r="55" spans="1:3" ht="13.8" x14ac:dyDescent="0.25">
      <c r="A55" s="248">
        <v>23100</v>
      </c>
      <c r="B55" s="249" t="s">
        <v>52</v>
      </c>
      <c r="C55" s="6">
        <v>2714106</v>
      </c>
    </row>
    <row r="56" spans="1:3" ht="13.8" x14ac:dyDescent="0.25">
      <c r="A56" s="248">
        <v>23200</v>
      </c>
      <c r="B56" s="249" t="s">
        <v>53</v>
      </c>
      <c r="C56" s="6">
        <v>1532370</v>
      </c>
    </row>
    <row r="57" spans="1:3" ht="13.8" x14ac:dyDescent="0.25">
      <c r="A57" s="248">
        <v>30000</v>
      </c>
      <c r="B57" s="249" t="s">
        <v>261</v>
      </c>
      <c r="C57" s="6">
        <v>128629</v>
      </c>
    </row>
    <row r="58" spans="1:3" ht="13.8" x14ac:dyDescent="0.25">
      <c r="A58" s="248">
        <v>30100</v>
      </c>
      <c r="B58" s="249" t="s">
        <v>262</v>
      </c>
      <c r="C58" s="6">
        <v>1396286</v>
      </c>
    </row>
    <row r="59" spans="1:3" ht="13.8" x14ac:dyDescent="0.25">
      <c r="A59" s="248">
        <v>30102</v>
      </c>
      <c r="B59" s="249" t="s">
        <v>263</v>
      </c>
      <c r="C59" s="6">
        <v>29910</v>
      </c>
    </row>
    <row r="60" spans="1:3" ht="13.8" x14ac:dyDescent="0.25">
      <c r="A60" s="248">
        <v>30103</v>
      </c>
      <c r="B60" s="249" t="s">
        <v>264</v>
      </c>
      <c r="C60" s="6">
        <v>37762</v>
      </c>
    </row>
    <row r="61" spans="1:3" ht="13.8" x14ac:dyDescent="0.25">
      <c r="A61" s="248">
        <v>30104</v>
      </c>
      <c r="B61" s="249" t="s">
        <v>265</v>
      </c>
      <c r="C61" s="6">
        <v>24765</v>
      </c>
    </row>
    <row r="62" spans="1:3" ht="13.8" x14ac:dyDescent="0.25">
      <c r="A62" s="248">
        <v>30105</v>
      </c>
      <c r="B62" s="249" t="s">
        <v>54</v>
      </c>
      <c r="C62" s="6">
        <v>125524</v>
      </c>
    </row>
    <row r="63" spans="1:3" ht="13.8" x14ac:dyDescent="0.25">
      <c r="A63" s="250">
        <v>30200</v>
      </c>
      <c r="B63" s="251" t="s">
        <v>266</v>
      </c>
      <c r="C63" s="6">
        <v>311120</v>
      </c>
    </row>
    <row r="64" spans="1:3" ht="13.8" x14ac:dyDescent="0.25">
      <c r="A64" s="250">
        <v>30300</v>
      </c>
      <c r="B64" s="251" t="s">
        <v>267</v>
      </c>
      <c r="C64" s="6">
        <v>95921</v>
      </c>
    </row>
    <row r="65" spans="1:3" ht="13.8" x14ac:dyDescent="0.25">
      <c r="A65" s="250">
        <v>30400</v>
      </c>
      <c r="B65" s="251" t="s">
        <v>268</v>
      </c>
      <c r="C65" s="6">
        <v>179513</v>
      </c>
    </row>
    <row r="66" spans="1:3" ht="13.8" x14ac:dyDescent="0.25">
      <c r="A66" s="250">
        <v>30405</v>
      </c>
      <c r="B66" s="251" t="s">
        <v>55</v>
      </c>
      <c r="C66" s="6">
        <v>111444</v>
      </c>
    </row>
    <row r="67" spans="1:3" ht="13.8" x14ac:dyDescent="0.25">
      <c r="A67" s="250">
        <v>30500</v>
      </c>
      <c r="B67" s="251" t="s">
        <v>269</v>
      </c>
      <c r="C67" s="6">
        <v>178557</v>
      </c>
    </row>
    <row r="68" spans="1:3" ht="13.8" x14ac:dyDescent="0.25">
      <c r="A68" s="250">
        <v>30600</v>
      </c>
      <c r="B68" s="251" t="s">
        <v>270</v>
      </c>
      <c r="C68" s="6">
        <v>141336</v>
      </c>
    </row>
    <row r="69" spans="1:3" ht="13.8" x14ac:dyDescent="0.25">
      <c r="A69" s="248">
        <v>30700</v>
      </c>
      <c r="B69" s="249" t="s">
        <v>272</v>
      </c>
      <c r="C69" s="6">
        <v>412113</v>
      </c>
    </row>
    <row r="70" spans="1:3" ht="13.8" x14ac:dyDescent="0.25">
      <c r="A70" s="248">
        <v>30705</v>
      </c>
      <c r="B70" s="249" t="s">
        <v>56</v>
      </c>
      <c r="C70" s="6">
        <v>73989</v>
      </c>
    </row>
    <row r="71" spans="1:3" ht="13.8" x14ac:dyDescent="0.25">
      <c r="A71" s="248">
        <v>30800</v>
      </c>
      <c r="B71" s="249" t="s">
        <v>273</v>
      </c>
      <c r="C71" s="6">
        <v>109730</v>
      </c>
    </row>
    <row r="72" spans="1:3" ht="13.8" x14ac:dyDescent="0.25">
      <c r="A72" s="248">
        <v>30900</v>
      </c>
      <c r="B72" s="249" t="s">
        <v>274</v>
      </c>
      <c r="C72" s="6">
        <v>231156</v>
      </c>
    </row>
    <row r="73" spans="1:3" ht="13.8" x14ac:dyDescent="0.25">
      <c r="A73" s="248">
        <v>30905</v>
      </c>
      <c r="B73" s="249" t="s">
        <v>57</v>
      </c>
      <c r="C73" s="6">
        <v>43159</v>
      </c>
    </row>
    <row r="74" spans="1:3" ht="13.8" x14ac:dyDescent="0.25">
      <c r="A74" s="248">
        <v>31000</v>
      </c>
      <c r="B74" s="249" t="s">
        <v>275</v>
      </c>
      <c r="C74" s="6">
        <v>766645</v>
      </c>
    </row>
    <row r="75" spans="1:3" ht="13.8" x14ac:dyDescent="0.25">
      <c r="A75" s="250">
        <v>31005</v>
      </c>
      <c r="B75" s="251" t="s">
        <v>58</v>
      </c>
      <c r="C75" s="6">
        <v>70325</v>
      </c>
    </row>
    <row r="76" spans="1:3" ht="13.8" x14ac:dyDescent="0.25">
      <c r="A76" s="250">
        <v>31100</v>
      </c>
      <c r="B76" s="251" t="s">
        <v>276</v>
      </c>
      <c r="C76" s="6">
        <v>1501106</v>
      </c>
    </row>
    <row r="77" spans="1:3" ht="13.8" x14ac:dyDescent="0.25">
      <c r="A77" s="250">
        <v>31101</v>
      </c>
      <c r="B77" s="251" t="s">
        <v>460</v>
      </c>
      <c r="C77" s="6">
        <v>10036</v>
      </c>
    </row>
    <row r="78" spans="1:3" ht="13.8" x14ac:dyDescent="0.25">
      <c r="A78" s="250">
        <v>31102</v>
      </c>
      <c r="B78" s="251" t="s">
        <v>277</v>
      </c>
      <c r="C78" s="6">
        <v>26697</v>
      </c>
    </row>
    <row r="79" spans="1:3" ht="13.8" x14ac:dyDescent="0.25">
      <c r="A79" s="250">
        <v>31105</v>
      </c>
      <c r="B79" s="251" t="s">
        <v>59</v>
      </c>
      <c r="C79" s="6">
        <v>229477</v>
      </c>
    </row>
    <row r="80" spans="1:3" ht="13.8" x14ac:dyDescent="0.25">
      <c r="A80" s="250">
        <v>31110</v>
      </c>
      <c r="B80" s="251" t="s">
        <v>278</v>
      </c>
      <c r="C80" s="6">
        <v>363972</v>
      </c>
    </row>
    <row r="81" spans="1:3" ht="13.8" x14ac:dyDescent="0.25">
      <c r="A81" s="248">
        <v>31200</v>
      </c>
      <c r="B81" s="249" t="s">
        <v>279</v>
      </c>
      <c r="C81" s="6">
        <v>662836</v>
      </c>
    </row>
    <row r="82" spans="1:3" ht="13.8" x14ac:dyDescent="0.25">
      <c r="A82" s="248">
        <v>31205</v>
      </c>
      <c r="B82" s="249" t="s">
        <v>461</v>
      </c>
      <c r="C82" s="6">
        <v>72744</v>
      </c>
    </row>
    <row r="83" spans="1:3" ht="13.8" x14ac:dyDescent="0.25">
      <c r="A83" s="248">
        <v>31300</v>
      </c>
      <c r="B83" s="249" t="s">
        <v>280</v>
      </c>
      <c r="C83" s="6">
        <v>2003219</v>
      </c>
    </row>
    <row r="84" spans="1:3" ht="13.8" x14ac:dyDescent="0.25">
      <c r="A84" s="248">
        <v>31301</v>
      </c>
      <c r="B84" s="249" t="s">
        <v>281</v>
      </c>
      <c r="C84" s="6">
        <v>37202</v>
      </c>
    </row>
    <row r="85" spans="1:3" ht="13.8" x14ac:dyDescent="0.25">
      <c r="A85" s="248">
        <v>31320</v>
      </c>
      <c r="B85" s="249" t="s">
        <v>282</v>
      </c>
      <c r="C85" s="6">
        <v>326969</v>
      </c>
    </row>
    <row r="86" spans="1:3" ht="13.8" x14ac:dyDescent="0.25">
      <c r="A86" s="248">
        <v>31400</v>
      </c>
      <c r="B86" s="249" t="s">
        <v>283</v>
      </c>
      <c r="C86" s="6">
        <v>656157</v>
      </c>
    </row>
    <row r="87" spans="1:3" ht="13.8" x14ac:dyDescent="0.25">
      <c r="A87" s="250">
        <v>31405</v>
      </c>
      <c r="B87" s="251" t="s">
        <v>61</v>
      </c>
      <c r="C87" s="6">
        <v>136011</v>
      </c>
    </row>
    <row r="88" spans="1:3" ht="13.8" x14ac:dyDescent="0.25">
      <c r="A88" s="250">
        <v>31500</v>
      </c>
      <c r="B88" s="251" t="s">
        <v>284</v>
      </c>
      <c r="C88" s="6">
        <v>123412</v>
      </c>
    </row>
    <row r="89" spans="1:3" ht="13.8" x14ac:dyDescent="0.25">
      <c r="A89" s="250">
        <v>31600</v>
      </c>
      <c r="B89" s="251" t="s">
        <v>285</v>
      </c>
      <c r="C89" s="6">
        <v>535056</v>
      </c>
    </row>
    <row r="90" spans="1:3" ht="13.8" x14ac:dyDescent="0.25">
      <c r="A90" s="250">
        <v>31605</v>
      </c>
      <c r="B90" s="251" t="s">
        <v>62</v>
      </c>
      <c r="C90" s="6">
        <v>76228</v>
      </c>
    </row>
    <row r="91" spans="1:3" ht="13.8" x14ac:dyDescent="0.25">
      <c r="A91" s="250">
        <v>31700</v>
      </c>
      <c r="B91" s="251" t="s">
        <v>286</v>
      </c>
      <c r="C91" s="6">
        <v>131571</v>
      </c>
    </row>
    <row r="92" spans="1:3" ht="13.8" x14ac:dyDescent="0.25">
      <c r="A92" s="250">
        <v>31800</v>
      </c>
      <c r="B92" s="251" t="s">
        <v>287</v>
      </c>
      <c r="C92" s="6">
        <v>920454</v>
      </c>
    </row>
    <row r="93" spans="1:3" ht="13.8" x14ac:dyDescent="0.25">
      <c r="A93" s="248">
        <v>31805</v>
      </c>
      <c r="B93" s="249" t="s">
        <v>63</v>
      </c>
      <c r="C93" s="6">
        <v>198051</v>
      </c>
    </row>
    <row r="94" spans="1:3" ht="13.8" x14ac:dyDescent="0.25">
      <c r="A94" s="248">
        <v>31810</v>
      </c>
      <c r="B94" s="249" t="s">
        <v>288</v>
      </c>
      <c r="C94" s="6">
        <v>220849</v>
      </c>
    </row>
    <row r="95" spans="1:3" ht="13.8" x14ac:dyDescent="0.25">
      <c r="A95" s="248">
        <v>31820</v>
      </c>
      <c r="B95" s="249" t="s">
        <v>289</v>
      </c>
      <c r="C95" s="6">
        <v>184549</v>
      </c>
    </row>
    <row r="96" spans="1:3" ht="13.8" x14ac:dyDescent="0.25">
      <c r="A96" s="248">
        <v>31900</v>
      </c>
      <c r="B96" s="249" t="s">
        <v>290</v>
      </c>
      <c r="C96" s="6">
        <v>587367</v>
      </c>
    </row>
    <row r="97" spans="1:3" ht="13.8" x14ac:dyDescent="0.25">
      <c r="A97" s="248">
        <v>32000</v>
      </c>
      <c r="B97" s="249" t="s">
        <v>291</v>
      </c>
      <c r="C97" s="6">
        <v>218196</v>
      </c>
    </row>
    <row r="98" spans="1:3" ht="13.8" x14ac:dyDescent="0.25">
      <c r="A98" s="248">
        <v>32005</v>
      </c>
      <c r="B98" s="249" t="s">
        <v>64</v>
      </c>
      <c r="C98" s="6">
        <v>57130</v>
      </c>
    </row>
    <row r="99" spans="1:3" ht="13.8" x14ac:dyDescent="0.25">
      <c r="A99" s="250">
        <v>32100</v>
      </c>
      <c r="B99" s="251" t="s">
        <v>292</v>
      </c>
      <c r="C99" s="6">
        <v>122293</v>
      </c>
    </row>
    <row r="100" spans="1:3" ht="13.8" x14ac:dyDescent="0.25">
      <c r="A100" s="250">
        <v>32200</v>
      </c>
      <c r="B100" s="251" t="s">
        <v>293</v>
      </c>
      <c r="C100" s="6">
        <v>89062</v>
      </c>
    </row>
    <row r="101" spans="1:3" ht="13.8" x14ac:dyDescent="0.25">
      <c r="A101" s="250">
        <v>32300</v>
      </c>
      <c r="B101" s="251" t="s">
        <v>294</v>
      </c>
      <c r="C101" s="6">
        <v>893920</v>
      </c>
    </row>
    <row r="102" spans="1:3" ht="13.8" x14ac:dyDescent="0.25">
      <c r="A102" s="250">
        <v>32305</v>
      </c>
      <c r="B102" s="251" t="s">
        <v>65</v>
      </c>
      <c r="C102" s="6">
        <v>96083</v>
      </c>
    </row>
    <row r="103" spans="1:3" ht="13.8" x14ac:dyDescent="0.25">
      <c r="A103" s="250">
        <v>32400</v>
      </c>
      <c r="B103" s="251" t="s">
        <v>295</v>
      </c>
      <c r="C103" s="6">
        <v>304911</v>
      </c>
    </row>
    <row r="104" spans="1:3" ht="13.8" x14ac:dyDescent="0.25">
      <c r="A104" s="250">
        <v>32405</v>
      </c>
      <c r="B104" s="251" t="s">
        <v>66</v>
      </c>
      <c r="C104" s="6">
        <v>73701</v>
      </c>
    </row>
    <row r="105" spans="1:3" ht="13.8" x14ac:dyDescent="0.25">
      <c r="A105" s="248">
        <v>32410</v>
      </c>
      <c r="B105" s="249" t="s">
        <v>296</v>
      </c>
      <c r="C105" s="6">
        <v>142275</v>
      </c>
    </row>
    <row r="106" spans="1:3" ht="13.8" x14ac:dyDescent="0.25">
      <c r="A106" s="248">
        <v>32500</v>
      </c>
      <c r="B106" s="249" t="s">
        <v>462</v>
      </c>
      <c r="C106" s="6">
        <v>737006</v>
      </c>
    </row>
    <row r="107" spans="1:3" ht="13.8" x14ac:dyDescent="0.25">
      <c r="A107" s="248">
        <v>32505</v>
      </c>
      <c r="B107" s="249" t="s">
        <v>67</v>
      </c>
      <c r="C107" s="6">
        <v>115849</v>
      </c>
    </row>
    <row r="108" spans="1:3" ht="13.8" x14ac:dyDescent="0.25">
      <c r="A108" s="248">
        <v>32600</v>
      </c>
      <c r="B108" s="249" t="s">
        <v>297</v>
      </c>
      <c r="C108" s="6">
        <v>2861796</v>
      </c>
    </row>
    <row r="109" spans="1:3" ht="13.8" x14ac:dyDescent="0.25">
      <c r="A109" s="248">
        <v>32605</v>
      </c>
      <c r="B109" s="249" t="s">
        <v>68</v>
      </c>
      <c r="C109" s="6">
        <v>429695</v>
      </c>
    </row>
    <row r="110" spans="1:3" ht="13.8" x14ac:dyDescent="0.25">
      <c r="A110" s="248">
        <v>32700</v>
      </c>
      <c r="B110" s="249" t="s">
        <v>298</v>
      </c>
      <c r="C110" s="6">
        <v>262275</v>
      </c>
    </row>
    <row r="111" spans="1:3" ht="13.8" x14ac:dyDescent="0.25">
      <c r="A111" s="248">
        <v>32800</v>
      </c>
      <c r="B111" s="249" t="s">
        <v>299</v>
      </c>
      <c r="C111" s="6">
        <v>360994</v>
      </c>
    </row>
    <row r="112" spans="1:3" ht="13.8" x14ac:dyDescent="0.25">
      <c r="A112" s="248">
        <v>32900</v>
      </c>
      <c r="B112" s="249" t="s">
        <v>300</v>
      </c>
      <c r="C112" s="6">
        <v>977602</v>
      </c>
    </row>
    <row r="113" spans="1:3" ht="13.8" x14ac:dyDescent="0.25">
      <c r="A113" s="248">
        <v>32901</v>
      </c>
      <c r="B113" s="249" t="s">
        <v>429</v>
      </c>
      <c r="C113" s="6">
        <v>21679</v>
      </c>
    </row>
    <row r="114" spans="1:3" ht="13.8" x14ac:dyDescent="0.25">
      <c r="A114" s="248">
        <v>32904</v>
      </c>
      <c r="B114" s="249" t="s">
        <v>487</v>
      </c>
      <c r="C114" s="6">
        <v>9459</v>
      </c>
    </row>
    <row r="115" spans="1:3" ht="13.8" x14ac:dyDescent="0.25">
      <c r="A115" s="248">
        <v>32905</v>
      </c>
      <c r="B115" s="249" t="s">
        <v>69</v>
      </c>
      <c r="C115" s="6">
        <v>139062</v>
      </c>
    </row>
    <row r="116" spans="1:3" ht="13.8" x14ac:dyDescent="0.25">
      <c r="A116" s="248">
        <v>32910</v>
      </c>
      <c r="B116" s="249" t="s">
        <v>301</v>
      </c>
      <c r="C116" s="6">
        <v>182708</v>
      </c>
    </row>
    <row r="117" spans="1:3" ht="13.8" x14ac:dyDescent="0.25">
      <c r="A117" s="250">
        <v>32915</v>
      </c>
      <c r="B117" s="251" t="s">
        <v>887</v>
      </c>
      <c r="C117" s="6">
        <v>15505</v>
      </c>
    </row>
    <row r="118" spans="1:3" ht="13.8" x14ac:dyDescent="0.25">
      <c r="A118" s="250">
        <v>32920</v>
      </c>
      <c r="B118" s="251" t="s">
        <v>302</v>
      </c>
      <c r="C118" s="6">
        <v>145993</v>
      </c>
    </row>
    <row r="119" spans="1:3" ht="13.8" x14ac:dyDescent="0.25">
      <c r="A119" s="250">
        <v>33000</v>
      </c>
      <c r="B119" s="251" t="s">
        <v>303</v>
      </c>
      <c r="C119" s="6">
        <v>363521</v>
      </c>
    </row>
    <row r="120" spans="1:3" ht="13.8" x14ac:dyDescent="0.25">
      <c r="A120" s="250">
        <v>33001</v>
      </c>
      <c r="B120" s="251" t="s">
        <v>463</v>
      </c>
      <c r="C120" s="6">
        <v>8700</v>
      </c>
    </row>
    <row r="121" spans="1:3" ht="13.8" x14ac:dyDescent="0.25">
      <c r="A121" s="250">
        <v>33027</v>
      </c>
      <c r="B121" s="251" t="s">
        <v>304</v>
      </c>
      <c r="C121" s="6">
        <v>61318</v>
      </c>
    </row>
    <row r="122" spans="1:3" ht="13.8" x14ac:dyDescent="0.25">
      <c r="A122" s="250">
        <v>33100</v>
      </c>
      <c r="B122" s="251" t="s">
        <v>305</v>
      </c>
      <c r="C122" s="6">
        <v>503937</v>
      </c>
    </row>
    <row r="123" spans="1:3" ht="13.8" x14ac:dyDescent="0.25">
      <c r="A123" s="248">
        <v>33105</v>
      </c>
      <c r="B123" s="249" t="s">
        <v>70</v>
      </c>
      <c r="C123" s="6">
        <v>62238</v>
      </c>
    </row>
    <row r="124" spans="1:3" ht="13.8" x14ac:dyDescent="0.25">
      <c r="A124" s="248">
        <v>33200</v>
      </c>
      <c r="B124" s="249" t="s">
        <v>306</v>
      </c>
      <c r="C124" s="6">
        <v>2510116</v>
      </c>
    </row>
    <row r="125" spans="1:3" ht="13.8" x14ac:dyDescent="0.25">
      <c r="A125" s="248">
        <v>33202</v>
      </c>
      <c r="B125" s="249" t="s">
        <v>464</v>
      </c>
      <c r="C125" s="6">
        <v>47383</v>
      </c>
    </row>
    <row r="126" spans="1:3" ht="13.8" x14ac:dyDescent="0.25">
      <c r="A126" s="248">
        <v>33203</v>
      </c>
      <c r="B126" s="249" t="s">
        <v>307</v>
      </c>
      <c r="C126" s="6">
        <v>31191</v>
      </c>
    </row>
    <row r="127" spans="1:3" ht="13.8" x14ac:dyDescent="0.25">
      <c r="A127" s="248">
        <v>33204</v>
      </c>
      <c r="B127" s="249" t="s">
        <v>308</v>
      </c>
      <c r="C127" s="6">
        <v>73701</v>
      </c>
    </row>
    <row r="128" spans="1:3" ht="13.8" x14ac:dyDescent="0.25">
      <c r="A128" s="248">
        <v>33205</v>
      </c>
      <c r="B128" s="249" t="s">
        <v>71</v>
      </c>
      <c r="C128" s="6">
        <v>201950</v>
      </c>
    </row>
    <row r="129" spans="1:3" ht="13.8" x14ac:dyDescent="0.25">
      <c r="A129" s="250">
        <v>33206</v>
      </c>
      <c r="B129" s="251" t="s">
        <v>309</v>
      </c>
      <c r="C129" s="6">
        <v>21065</v>
      </c>
    </row>
    <row r="130" spans="1:3" ht="13.8" x14ac:dyDescent="0.25">
      <c r="A130" s="250">
        <v>33207</v>
      </c>
      <c r="B130" s="251" t="s">
        <v>310</v>
      </c>
      <c r="C130" s="6">
        <v>90849</v>
      </c>
    </row>
    <row r="131" spans="1:3" ht="13.8" x14ac:dyDescent="0.25">
      <c r="A131" s="250">
        <v>33300</v>
      </c>
      <c r="B131" s="251" t="s">
        <v>312</v>
      </c>
      <c r="C131" s="6">
        <v>343359</v>
      </c>
    </row>
    <row r="132" spans="1:3" ht="13.8" x14ac:dyDescent="0.25">
      <c r="A132" s="250">
        <v>33305</v>
      </c>
      <c r="B132" s="251" t="s">
        <v>72</v>
      </c>
      <c r="C132" s="6">
        <v>64170</v>
      </c>
    </row>
    <row r="133" spans="1:3" ht="13.8" x14ac:dyDescent="0.25">
      <c r="A133" s="250">
        <v>33400</v>
      </c>
      <c r="B133" s="251" t="s">
        <v>313</v>
      </c>
      <c r="C133" s="6">
        <v>3285245</v>
      </c>
    </row>
    <row r="134" spans="1:3" ht="13.8" x14ac:dyDescent="0.25">
      <c r="A134" s="250">
        <v>33402</v>
      </c>
      <c r="B134" s="251" t="s">
        <v>314</v>
      </c>
      <c r="C134" s="6">
        <v>30939</v>
      </c>
    </row>
    <row r="135" spans="1:3" ht="13.8" x14ac:dyDescent="0.25">
      <c r="A135" s="248">
        <v>33405</v>
      </c>
      <c r="B135" s="249" t="s">
        <v>73</v>
      </c>
      <c r="C135" s="6">
        <v>292149</v>
      </c>
    </row>
    <row r="136" spans="1:3" ht="13.8" x14ac:dyDescent="0.25">
      <c r="A136" s="248">
        <v>33500</v>
      </c>
      <c r="B136" s="249" t="s">
        <v>315</v>
      </c>
      <c r="C136" s="6">
        <v>480164</v>
      </c>
    </row>
    <row r="137" spans="1:3" ht="13.8" x14ac:dyDescent="0.25">
      <c r="A137" s="248">
        <v>33501</v>
      </c>
      <c r="B137" s="249" t="s">
        <v>316</v>
      </c>
      <c r="C137" s="6">
        <v>18538</v>
      </c>
    </row>
    <row r="138" spans="1:3" ht="13.8" x14ac:dyDescent="0.25">
      <c r="A138" s="248">
        <v>33600</v>
      </c>
      <c r="B138" s="249" t="s">
        <v>317</v>
      </c>
      <c r="C138" s="6">
        <v>1744157</v>
      </c>
    </row>
    <row r="139" spans="1:3" ht="13.8" x14ac:dyDescent="0.25">
      <c r="A139" s="248">
        <v>33605</v>
      </c>
      <c r="B139" s="249" t="s">
        <v>74</v>
      </c>
      <c r="C139" s="6">
        <v>184730</v>
      </c>
    </row>
    <row r="140" spans="1:3" ht="13.8" x14ac:dyDescent="0.25">
      <c r="A140" s="248">
        <v>33700</v>
      </c>
      <c r="B140" s="249" t="s">
        <v>318</v>
      </c>
      <c r="C140" s="6">
        <v>121156</v>
      </c>
    </row>
    <row r="141" spans="1:3" ht="13.8" x14ac:dyDescent="0.25">
      <c r="A141" s="250">
        <v>33800</v>
      </c>
      <c r="B141" s="251" t="s">
        <v>319</v>
      </c>
      <c r="C141" s="6">
        <v>86571</v>
      </c>
    </row>
    <row r="142" spans="1:3" ht="13.8" x14ac:dyDescent="0.25">
      <c r="A142" s="250">
        <v>33900</v>
      </c>
      <c r="B142" s="251" t="s">
        <v>466</v>
      </c>
      <c r="C142" s="6">
        <v>386102</v>
      </c>
    </row>
    <row r="143" spans="1:3" ht="13.8" x14ac:dyDescent="0.25">
      <c r="A143" s="250">
        <v>34000</v>
      </c>
      <c r="B143" s="251" t="s">
        <v>320</v>
      </c>
      <c r="C143" s="6">
        <v>198232</v>
      </c>
    </row>
    <row r="144" spans="1:3" ht="13.8" x14ac:dyDescent="0.25">
      <c r="A144" s="250">
        <v>34100</v>
      </c>
      <c r="B144" s="251" t="s">
        <v>321</v>
      </c>
      <c r="C144" s="6">
        <v>4349400</v>
      </c>
    </row>
    <row r="145" spans="1:3" ht="13.8" x14ac:dyDescent="0.25">
      <c r="A145" s="250">
        <v>34105</v>
      </c>
      <c r="B145" s="251" t="s">
        <v>75</v>
      </c>
      <c r="C145" s="6">
        <v>322257</v>
      </c>
    </row>
    <row r="146" spans="1:3" ht="13.8" x14ac:dyDescent="0.25">
      <c r="A146" s="250">
        <v>34200</v>
      </c>
      <c r="B146" s="251" t="s">
        <v>322</v>
      </c>
      <c r="C146" s="6">
        <v>139098</v>
      </c>
    </row>
    <row r="147" spans="1:3" ht="13.8" x14ac:dyDescent="0.25">
      <c r="A147" s="248">
        <v>34205</v>
      </c>
      <c r="B147" s="249" t="s">
        <v>76</v>
      </c>
      <c r="C147" s="6">
        <v>59675</v>
      </c>
    </row>
    <row r="148" spans="1:3" ht="13.8" x14ac:dyDescent="0.25">
      <c r="A148" s="248">
        <v>34220</v>
      </c>
      <c r="B148" s="249" t="s">
        <v>323</v>
      </c>
      <c r="C148" s="6">
        <v>165434</v>
      </c>
    </row>
    <row r="149" spans="1:3" ht="13.8" x14ac:dyDescent="0.25">
      <c r="A149" s="248">
        <v>34230</v>
      </c>
      <c r="B149" s="249" t="s">
        <v>324</v>
      </c>
      <c r="C149" s="6">
        <v>52834</v>
      </c>
    </row>
    <row r="150" spans="1:3" ht="13.8" x14ac:dyDescent="0.25">
      <c r="A150" s="248">
        <v>34300</v>
      </c>
      <c r="B150" s="249" t="s">
        <v>325</v>
      </c>
      <c r="C150" s="6">
        <v>1044931</v>
      </c>
    </row>
    <row r="151" spans="1:3" ht="13.8" x14ac:dyDescent="0.25">
      <c r="A151" s="248">
        <v>34400</v>
      </c>
      <c r="B151" s="249" t="s">
        <v>326</v>
      </c>
      <c r="C151" s="6">
        <v>456518</v>
      </c>
    </row>
    <row r="152" spans="1:3" ht="13.8" x14ac:dyDescent="0.25">
      <c r="A152" s="248">
        <v>34405</v>
      </c>
      <c r="B152" s="249" t="s">
        <v>77</v>
      </c>
      <c r="C152" s="6">
        <v>79314</v>
      </c>
    </row>
    <row r="153" spans="1:3" ht="13.8" x14ac:dyDescent="0.25">
      <c r="A153" s="250">
        <v>34500</v>
      </c>
      <c r="B153" s="251" t="s">
        <v>327</v>
      </c>
      <c r="C153" s="6">
        <v>820057</v>
      </c>
    </row>
    <row r="154" spans="1:3" ht="13.8" x14ac:dyDescent="0.25">
      <c r="A154" s="250">
        <v>34501</v>
      </c>
      <c r="B154" s="251" t="s">
        <v>328</v>
      </c>
      <c r="C154" s="6">
        <v>10740</v>
      </c>
    </row>
    <row r="155" spans="1:3" ht="13.8" x14ac:dyDescent="0.25">
      <c r="A155" s="250">
        <v>34505</v>
      </c>
      <c r="B155" s="251" t="s">
        <v>78</v>
      </c>
      <c r="C155" s="6">
        <v>105758</v>
      </c>
    </row>
    <row r="156" spans="1:3" ht="13.8" x14ac:dyDescent="0.25">
      <c r="A156" s="250">
        <v>34600</v>
      </c>
      <c r="B156" s="251" t="s">
        <v>329</v>
      </c>
      <c r="C156" s="6">
        <v>168105</v>
      </c>
    </row>
    <row r="157" spans="1:3" ht="13.8" x14ac:dyDescent="0.25">
      <c r="A157" s="250">
        <v>34605</v>
      </c>
      <c r="B157" s="251" t="s">
        <v>79</v>
      </c>
      <c r="C157" s="6">
        <v>28989</v>
      </c>
    </row>
    <row r="158" spans="1:3" ht="13.8" x14ac:dyDescent="0.25">
      <c r="A158" s="250">
        <v>34700</v>
      </c>
      <c r="B158" s="251" t="s">
        <v>330</v>
      </c>
      <c r="C158" s="6">
        <v>544731</v>
      </c>
    </row>
    <row r="159" spans="1:3" ht="13.8" x14ac:dyDescent="0.25">
      <c r="A159" s="248">
        <v>34800</v>
      </c>
      <c r="B159" s="249" t="s">
        <v>331</v>
      </c>
      <c r="C159" s="6">
        <v>53845</v>
      </c>
    </row>
    <row r="160" spans="1:3" ht="13.8" x14ac:dyDescent="0.25">
      <c r="A160" s="248">
        <v>34900</v>
      </c>
      <c r="B160" s="249" t="s">
        <v>467</v>
      </c>
      <c r="C160" s="6">
        <v>1158415</v>
      </c>
    </row>
    <row r="161" spans="1:3" ht="13.8" x14ac:dyDescent="0.25">
      <c r="A161" s="248">
        <v>34901</v>
      </c>
      <c r="B161" s="249" t="s">
        <v>468</v>
      </c>
      <c r="C161" s="6">
        <v>31354</v>
      </c>
    </row>
    <row r="162" spans="1:3" ht="13.8" x14ac:dyDescent="0.25">
      <c r="A162" s="248">
        <v>34903</v>
      </c>
      <c r="B162" s="249" t="s">
        <v>332</v>
      </c>
      <c r="C162" s="6">
        <v>2383</v>
      </c>
    </row>
    <row r="163" spans="1:3" ht="13.8" x14ac:dyDescent="0.25">
      <c r="A163" s="248">
        <v>34905</v>
      </c>
      <c r="B163" s="249" t="s">
        <v>80</v>
      </c>
      <c r="C163" s="6">
        <v>102762</v>
      </c>
    </row>
    <row r="164" spans="1:3" ht="13.8" x14ac:dyDescent="0.25">
      <c r="A164" s="248">
        <v>34910</v>
      </c>
      <c r="B164" s="249" t="s">
        <v>333</v>
      </c>
      <c r="C164" s="6">
        <v>377077</v>
      </c>
    </row>
    <row r="165" spans="1:3" ht="13.8" x14ac:dyDescent="0.25">
      <c r="A165" s="248">
        <v>35000</v>
      </c>
      <c r="B165" s="249" t="s">
        <v>334</v>
      </c>
      <c r="C165" s="6">
        <v>236463</v>
      </c>
    </row>
    <row r="166" spans="1:3" ht="13.8" x14ac:dyDescent="0.25">
      <c r="A166" s="248">
        <v>35005</v>
      </c>
      <c r="B166" s="249" t="s">
        <v>81</v>
      </c>
      <c r="C166" s="6">
        <v>93773</v>
      </c>
    </row>
    <row r="167" spans="1:3" ht="13.8" x14ac:dyDescent="0.25">
      <c r="A167" s="248">
        <v>35100</v>
      </c>
      <c r="B167" s="249" t="s">
        <v>335</v>
      </c>
      <c r="C167" s="6">
        <v>2171162</v>
      </c>
    </row>
    <row r="168" spans="1:3" ht="13.8" x14ac:dyDescent="0.25">
      <c r="A168" s="248">
        <v>35105</v>
      </c>
      <c r="B168" s="249" t="s">
        <v>82</v>
      </c>
      <c r="C168" s="6">
        <v>171733</v>
      </c>
    </row>
    <row r="169" spans="1:3" ht="13.8" x14ac:dyDescent="0.25">
      <c r="A169" s="248">
        <v>35106</v>
      </c>
      <c r="B169" s="249" t="s">
        <v>336</v>
      </c>
      <c r="C169" s="6">
        <v>44531</v>
      </c>
    </row>
    <row r="170" spans="1:3" ht="13.8" x14ac:dyDescent="0.25">
      <c r="A170" s="248">
        <v>35200</v>
      </c>
      <c r="B170" s="249" t="s">
        <v>337</v>
      </c>
      <c r="C170" s="6">
        <v>84007</v>
      </c>
    </row>
    <row r="171" spans="1:3" ht="13.8" x14ac:dyDescent="0.25">
      <c r="A171" s="250">
        <v>35300</v>
      </c>
      <c r="B171" s="251" t="s">
        <v>469</v>
      </c>
      <c r="C171" s="6">
        <v>621193</v>
      </c>
    </row>
    <row r="172" spans="1:3" ht="13.8" x14ac:dyDescent="0.25">
      <c r="A172" s="250">
        <v>35305</v>
      </c>
      <c r="B172" s="251" t="s">
        <v>83</v>
      </c>
      <c r="C172" s="6">
        <v>239586</v>
      </c>
    </row>
    <row r="173" spans="1:3" ht="13.8" x14ac:dyDescent="0.25">
      <c r="A173" s="250">
        <v>35400</v>
      </c>
      <c r="B173" s="251" t="s">
        <v>338</v>
      </c>
      <c r="C173" s="6">
        <v>473792</v>
      </c>
    </row>
    <row r="174" spans="1:3" ht="13.8" x14ac:dyDescent="0.25">
      <c r="A174" s="250">
        <v>35401</v>
      </c>
      <c r="B174" s="251" t="s">
        <v>339</v>
      </c>
      <c r="C174" s="6">
        <v>6931</v>
      </c>
    </row>
    <row r="175" spans="1:3" ht="13.8" x14ac:dyDescent="0.25">
      <c r="A175" s="250">
        <v>35405</v>
      </c>
      <c r="B175" s="251" t="s">
        <v>84</v>
      </c>
      <c r="C175" s="6">
        <v>134730</v>
      </c>
    </row>
    <row r="176" spans="1:3" ht="13.8" x14ac:dyDescent="0.25">
      <c r="A176" s="250">
        <v>35500</v>
      </c>
      <c r="B176" s="251" t="s">
        <v>340</v>
      </c>
      <c r="C176" s="6">
        <v>643612</v>
      </c>
    </row>
    <row r="177" spans="1:3" ht="13.8" x14ac:dyDescent="0.25">
      <c r="A177" s="248">
        <v>35600</v>
      </c>
      <c r="B177" s="249" t="s">
        <v>341</v>
      </c>
      <c r="C177" s="6">
        <v>283340</v>
      </c>
    </row>
    <row r="178" spans="1:3" ht="13.8" x14ac:dyDescent="0.25">
      <c r="A178" s="248">
        <v>35700</v>
      </c>
      <c r="B178" s="249" t="s">
        <v>342</v>
      </c>
      <c r="C178" s="6">
        <v>145343</v>
      </c>
    </row>
    <row r="179" spans="1:3" ht="13.8" x14ac:dyDescent="0.25">
      <c r="A179" s="248">
        <v>35800</v>
      </c>
      <c r="B179" s="249" t="s">
        <v>343</v>
      </c>
      <c r="C179" s="6">
        <v>182329</v>
      </c>
    </row>
    <row r="180" spans="1:3" ht="13.8" x14ac:dyDescent="0.25">
      <c r="A180" s="248">
        <v>35805</v>
      </c>
      <c r="B180" s="249" t="s">
        <v>85</v>
      </c>
      <c r="C180" s="6">
        <v>38267</v>
      </c>
    </row>
    <row r="181" spans="1:3" ht="13.8" x14ac:dyDescent="0.25">
      <c r="A181" s="248">
        <v>35900</v>
      </c>
      <c r="B181" s="249" t="s">
        <v>344</v>
      </c>
      <c r="C181" s="6">
        <v>362763</v>
      </c>
    </row>
    <row r="182" spans="1:3" ht="13.8" x14ac:dyDescent="0.25">
      <c r="A182" s="248">
        <v>35905</v>
      </c>
      <c r="B182" s="249" t="s">
        <v>86</v>
      </c>
      <c r="C182" s="6">
        <v>43953</v>
      </c>
    </row>
    <row r="183" spans="1:3" ht="13.8" x14ac:dyDescent="0.25">
      <c r="A183" s="250">
        <v>36000</v>
      </c>
      <c r="B183" s="251" t="s">
        <v>345</v>
      </c>
      <c r="C183" s="6">
        <v>9820826</v>
      </c>
    </row>
    <row r="184" spans="1:3" ht="13.8" x14ac:dyDescent="0.25">
      <c r="A184" s="250">
        <v>36003</v>
      </c>
      <c r="B184" s="251" t="s">
        <v>346</v>
      </c>
      <c r="C184" s="6">
        <v>69387</v>
      </c>
    </row>
    <row r="185" spans="1:3" ht="13.8" x14ac:dyDescent="0.25">
      <c r="A185" s="250">
        <v>36004</v>
      </c>
      <c r="B185" s="251" t="s">
        <v>472</v>
      </c>
      <c r="C185" s="6">
        <v>55614</v>
      </c>
    </row>
    <row r="186" spans="1:3" ht="13.8" x14ac:dyDescent="0.25">
      <c r="A186" s="250">
        <v>36005</v>
      </c>
      <c r="B186" s="251" t="s">
        <v>87</v>
      </c>
      <c r="C186" s="6">
        <v>676573</v>
      </c>
    </row>
    <row r="187" spans="1:3" ht="13.8" x14ac:dyDescent="0.25">
      <c r="A187" s="250">
        <v>36006</v>
      </c>
      <c r="B187" s="251" t="s">
        <v>347</v>
      </c>
      <c r="C187" s="6">
        <v>115957</v>
      </c>
    </row>
    <row r="188" spans="1:3" ht="13.8" x14ac:dyDescent="0.25">
      <c r="A188" s="250">
        <v>36007</v>
      </c>
      <c r="B188" s="251" t="s">
        <v>348</v>
      </c>
      <c r="C188" s="6">
        <v>43394</v>
      </c>
    </row>
    <row r="189" spans="1:3" ht="13.8" x14ac:dyDescent="0.25">
      <c r="A189" s="248">
        <v>36008</v>
      </c>
      <c r="B189" s="249" t="s">
        <v>349</v>
      </c>
      <c r="C189" s="6">
        <v>103213</v>
      </c>
    </row>
    <row r="190" spans="1:3" ht="13.8" x14ac:dyDescent="0.25">
      <c r="A190" s="248">
        <v>36009</v>
      </c>
      <c r="B190" s="249" t="s">
        <v>350</v>
      </c>
      <c r="C190" s="6">
        <v>15000</v>
      </c>
    </row>
    <row r="191" spans="1:3" ht="13.8" x14ac:dyDescent="0.25">
      <c r="A191" s="248">
        <v>36100</v>
      </c>
      <c r="B191" s="249" t="s">
        <v>351</v>
      </c>
      <c r="C191" s="6">
        <v>111823</v>
      </c>
    </row>
    <row r="192" spans="1:3" ht="13.8" x14ac:dyDescent="0.25">
      <c r="A192" s="248">
        <v>36105</v>
      </c>
      <c r="B192" s="249" t="s">
        <v>88</v>
      </c>
      <c r="C192" s="6">
        <v>50488</v>
      </c>
    </row>
    <row r="193" spans="1:3" ht="13.8" x14ac:dyDescent="0.25">
      <c r="A193" s="248">
        <v>36200</v>
      </c>
      <c r="B193" s="249" t="s">
        <v>353</v>
      </c>
      <c r="C193" s="6">
        <v>201463</v>
      </c>
    </row>
    <row r="194" spans="1:3" ht="13.8" x14ac:dyDescent="0.25">
      <c r="A194" s="248">
        <v>36205</v>
      </c>
      <c r="B194" s="249" t="s">
        <v>89</v>
      </c>
      <c r="C194" s="6">
        <v>47004</v>
      </c>
    </row>
    <row r="195" spans="1:3" ht="13.8" x14ac:dyDescent="0.25">
      <c r="A195" s="250">
        <v>36300</v>
      </c>
      <c r="B195" s="251" t="s">
        <v>354</v>
      </c>
      <c r="C195" s="6">
        <v>745869</v>
      </c>
    </row>
    <row r="196" spans="1:3" ht="13.8" x14ac:dyDescent="0.25">
      <c r="A196" s="250">
        <v>36301</v>
      </c>
      <c r="B196" s="251" t="s">
        <v>355</v>
      </c>
      <c r="C196" s="6">
        <v>21173</v>
      </c>
    </row>
    <row r="197" spans="1:3" ht="13.8" x14ac:dyDescent="0.25">
      <c r="A197" s="250">
        <v>36302</v>
      </c>
      <c r="B197" s="251" t="s">
        <v>356</v>
      </c>
      <c r="C197" s="6">
        <v>32347</v>
      </c>
    </row>
    <row r="198" spans="1:3" ht="13.8" x14ac:dyDescent="0.25">
      <c r="A198" s="250">
        <v>36303</v>
      </c>
      <c r="B198" s="251" t="s">
        <v>245</v>
      </c>
      <c r="C198" s="6">
        <v>44765</v>
      </c>
    </row>
    <row r="199" spans="1:3" ht="13.8" x14ac:dyDescent="0.25">
      <c r="A199" s="250">
        <v>36305</v>
      </c>
      <c r="B199" s="251" t="s">
        <v>90</v>
      </c>
      <c r="C199" s="6">
        <v>148593</v>
      </c>
    </row>
    <row r="200" spans="1:3" ht="13.8" x14ac:dyDescent="0.25">
      <c r="A200" s="250">
        <v>36400</v>
      </c>
      <c r="B200" s="251" t="s">
        <v>357</v>
      </c>
      <c r="C200" s="6">
        <v>804587</v>
      </c>
    </row>
    <row r="201" spans="1:3" ht="13.8" x14ac:dyDescent="0.25">
      <c r="A201" s="248">
        <v>36405</v>
      </c>
      <c r="B201" s="249" t="s">
        <v>91</v>
      </c>
      <c r="C201" s="6">
        <v>117022</v>
      </c>
    </row>
    <row r="202" spans="1:3" ht="13.8" x14ac:dyDescent="0.25">
      <c r="A202" s="248">
        <v>36500</v>
      </c>
      <c r="B202" s="249" t="s">
        <v>358</v>
      </c>
      <c r="C202" s="6">
        <v>1695944</v>
      </c>
    </row>
    <row r="203" spans="1:3" ht="13.8" x14ac:dyDescent="0.25">
      <c r="A203" s="248">
        <v>36501</v>
      </c>
      <c r="B203" s="249" t="s">
        <v>473</v>
      </c>
      <c r="C203" s="6">
        <v>23376</v>
      </c>
    </row>
    <row r="204" spans="1:3" ht="13.8" x14ac:dyDescent="0.25">
      <c r="A204" s="248">
        <v>36502</v>
      </c>
      <c r="B204" s="249" t="s">
        <v>359</v>
      </c>
      <c r="C204" s="6">
        <v>5578</v>
      </c>
    </row>
    <row r="205" spans="1:3" ht="13.8" x14ac:dyDescent="0.25">
      <c r="A205" s="248">
        <v>36505</v>
      </c>
      <c r="B205" s="249" t="s">
        <v>92</v>
      </c>
      <c r="C205" s="6">
        <v>311283</v>
      </c>
    </row>
    <row r="206" spans="1:3" ht="13.8" x14ac:dyDescent="0.25">
      <c r="A206" s="248">
        <v>36600</v>
      </c>
      <c r="B206" s="249" t="s">
        <v>360</v>
      </c>
      <c r="C206" s="6">
        <v>96841</v>
      </c>
    </row>
    <row r="207" spans="1:3" ht="13.8" x14ac:dyDescent="0.25">
      <c r="A207" s="250">
        <v>36700</v>
      </c>
      <c r="B207" s="251" t="s">
        <v>362</v>
      </c>
      <c r="C207" s="6">
        <v>1401033</v>
      </c>
    </row>
    <row r="208" spans="1:3" ht="13.8" x14ac:dyDescent="0.25">
      <c r="A208" s="250">
        <v>36701</v>
      </c>
      <c r="B208" s="251" t="s">
        <v>363</v>
      </c>
      <c r="C208" s="6">
        <v>5235</v>
      </c>
    </row>
    <row r="209" spans="1:3" ht="13.8" x14ac:dyDescent="0.25">
      <c r="A209" s="250">
        <v>36705</v>
      </c>
      <c r="B209" s="251" t="s">
        <v>93</v>
      </c>
      <c r="C209" s="6">
        <v>167365</v>
      </c>
    </row>
    <row r="210" spans="1:3" ht="13.8" x14ac:dyDescent="0.25">
      <c r="A210" s="250">
        <v>36800</v>
      </c>
      <c r="B210" s="251" t="s">
        <v>364</v>
      </c>
      <c r="C210" s="6">
        <v>526825</v>
      </c>
    </row>
    <row r="211" spans="1:3" ht="13.8" x14ac:dyDescent="0.25">
      <c r="A211" s="250">
        <v>36802</v>
      </c>
      <c r="B211" s="251" t="s">
        <v>365</v>
      </c>
      <c r="C211" s="6">
        <v>44729</v>
      </c>
    </row>
    <row r="212" spans="1:3" ht="13.8" x14ac:dyDescent="0.25">
      <c r="A212" s="250">
        <v>36810</v>
      </c>
      <c r="B212" s="251" t="s">
        <v>474</v>
      </c>
      <c r="C212" s="6">
        <v>1077549</v>
      </c>
    </row>
    <row r="213" spans="1:3" ht="13.8" x14ac:dyDescent="0.25">
      <c r="A213" s="248">
        <v>36900</v>
      </c>
      <c r="B213" s="249" t="s">
        <v>366</v>
      </c>
      <c r="C213" s="6">
        <v>104766</v>
      </c>
    </row>
    <row r="214" spans="1:3" ht="13.8" x14ac:dyDescent="0.25">
      <c r="A214" s="248">
        <v>36901</v>
      </c>
      <c r="B214" s="249" t="s">
        <v>367</v>
      </c>
      <c r="C214" s="6">
        <v>33899</v>
      </c>
    </row>
    <row r="215" spans="1:3" ht="13.8" x14ac:dyDescent="0.25">
      <c r="A215" s="248">
        <v>36905</v>
      </c>
      <c r="B215" s="249" t="s">
        <v>94</v>
      </c>
      <c r="C215" s="6">
        <v>33231</v>
      </c>
    </row>
    <row r="216" spans="1:3" ht="13.8" x14ac:dyDescent="0.25">
      <c r="A216" s="248">
        <v>37000</v>
      </c>
      <c r="B216" s="249" t="s">
        <v>368</v>
      </c>
      <c r="C216" s="6">
        <v>293792</v>
      </c>
    </row>
    <row r="217" spans="1:3" ht="13.8" x14ac:dyDescent="0.25">
      <c r="A217" s="248">
        <v>37001</v>
      </c>
      <c r="B217" s="249" t="s">
        <v>475</v>
      </c>
      <c r="C217" s="6">
        <v>33719</v>
      </c>
    </row>
    <row r="218" spans="1:3" ht="13.8" x14ac:dyDescent="0.25">
      <c r="A218" s="248">
        <v>37005</v>
      </c>
      <c r="B218" s="249" t="s">
        <v>95</v>
      </c>
      <c r="C218" s="6">
        <v>87437</v>
      </c>
    </row>
    <row r="219" spans="1:3" ht="13.8" x14ac:dyDescent="0.25">
      <c r="A219" s="248">
        <v>37100</v>
      </c>
      <c r="B219" s="249" t="s">
        <v>369</v>
      </c>
      <c r="C219" s="6">
        <v>548540</v>
      </c>
    </row>
    <row r="220" spans="1:3" ht="13.8" x14ac:dyDescent="0.25">
      <c r="A220" s="248">
        <v>37200</v>
      </c>
      <c r="B220" s="249" t="s">
        <v>370</v>
      </c>
      <c r="C220" s="6">
        <v>109044</v>
      </c>
    </row>
    <row r="221" spans="1:3" ht="13.8" x14ac:dyDescent="0.25">
      <c r="A221" s="248">
        <v>37300</v>
      </c>
      <c r="B221" s="249" t="s">
        <v>371</v>
      </c>
      <c r="C221" s="6">
        <v>280308</v>
      </c>
    </row>
    <row r="222" spans="1:3" ht="13.8" x14ac:dyDescent="0.25">
      <c r="A222" s="248">
        <v>37301</v>
      </c>
      <c r="B222" s="249" t="s">
        <v>372</v>
      </c>
      <c r="C222" s="6">
        <v>32094</v>
      </c>
    </row>
    <row r="223" spans="1:3" ht="13.8" x14ac:dyDescent="0.25">
      <c r="A223" s="248">
        <v>37305</v>
      </c>
      <c r="B223" s="249" t="s">
        <v>96</v>
      </c>
      <c r="C223" s="6">
        <v>66101</v>
      </c>
    </row>
    <row r="224" spans="1:3" ht="13.8" x14ac:dyDescent="0.25">
      <c r="A224" s="248">
        <v>37400</v>
      </c>
      <c r="B224" s="249" t="s">
        <v>373</v>
      </c>
      <c r="C224" s="6">
        <v>1491016</v>
      </c>
    </row>
    <row r="225" spans="1:3" ht="13.8" x14ac:dyDescent="0.25">
      <c r="A225" s="250">
        <v>37405</v>
      </c>
      <c r="B225" s="251" t="s">
        <v>97</v>
      </c>
      <c r="C225" s="6">
        <v>279965</v>
      </c>
    </row>
    <row r="226" spans="1:3" ht="13.8" x14ac:dyDescent="0.25">
      <c r="A226" s="250">
        <v>37500</v>
      </c>
      <c r="B226" s="251" t="s">
        <v>374</v>
      </c>
      <c r="C226" s="6">
        <v>149676</v>
      </c>
    </row>
    <row r="227" spans="1:3" ht="13.8" x14ac:dyDescent="0.25">
      <c r="A227" s="250">
        <v>37600</v>
      </c>
      <c r="B227" s="251" t="s">
        <v>375</v>
      </c>
      <c r="C227" s="6">
        <v>891393</v>
      </c>
    </row>
    <row r="228" spans="1:3" ht="13.8" x14ac:dyDescent="0.25">
      <c r="A228" s="250">
        <v>37601</v>
      </c>
      <c r="B228" s="251" t="s">
        <v>376</v>
      </c>
      <c r="C228" s="6">
        <v>96047</v>
      </c>
    </row>
    <row r="229" spans="1:3" ht="13.8" x14ac:dyDescent="0.25">
      <c r="A229" s="250">
        <v>37605</v>
      </c>
      <c r="B229" s="251" t="s">
        <v>98</v>
      </c>
      <c r="C229" s="6">
        <v>111011</v>
      </c>
    </row>
    <row r="230" spans="1:3" ht="13.8" x14ac:dyDescent="0.25">
      <c r="A230" s="250">
        <v>37610</v>
      </c>
      <c r="B230" s="251" t="s">
        <v>377</v>
      </c>
      <c r="C230" s="6">
        <v>282871</v>
      </c>
    </row>
    <row r="231" spans="1:3" ht="13.8" x14ac:dyDescent="0.25">
      <c r="A231" s="248">
        <v>37700</v>
      </c>
      <c r="B231" s="249" t="s">
        <v>378</v>
      </c>
      <c r="C231" s="6">
        <v>388539</v>
      </c>
    </row>
    <row r="232" spans="1:3" ht="13.8" x14ac:dyDescent="0.25">
      <c r="A232" s="248">
        <v>37705</v>
      </c>
      <c r="B232" s="249" t="s">
        <v>99</v>
      </c>
      <c r="C232" s="6">
        <v>110199</v>
      </c>
    </row>
    <row r="233" spans="1:3" ht="13.8" x14ac:dyDescent="0.25">
      <c r="A233" s="248">
        <v>37800</v>
      </c>
      <c r="B233" s="249" t="s">
        <v>379</v>
      </c>
      <c r="C233" s="6">
        <v>1215040</v>
      </c>
    </row>
    <row r="234" spans="1:3" ht="13.8" x14ac:dyDescent="0.25">
      <c r="A234" s="248">
        <v>37801</v>
      </c>
      <c r="B234" s="249" t="s">
        <v>380</v>
      </c>
      <c r="C234" s="6">
        <v>12076</v>
      </c>
    </row>
    <row r="235" spans="1:3" ht="13.8" x14ac:dyDescent="0.25">
      <c r="A235" s="248">
        <v>37805</v>
      </c>
      <c r="B235" s="249" t="s">
        <v>100</v>
      </c>
      <c r="C235" s="6">
        <v>96011</v>
      </c>
    </row>
    <row r="236" spans="1:3" ht="13.8" x14ac:dyDescent="0.25">
      <c r="A236" s="248">
        <v>37900</v>
      </c>
      <c r="B236" s="249" t="s">
        <v>381</v>
      </c>
      <c r="C236" s="6">
        <v>652710</v>
      </c>
    </row>
    <row r="237" spans="1:3" ht="13.8" x14ac:dyDescent="0.25">
      <c r="A237" s="250">
        <v>37901</v>
      </c>
      <c r="B237" s="251" t="s">
        <v>382</v>
      </c>
      <c r="C237" s="6">
        <v>21354</v>
      </c>
    </row>
    <row r="238" spans="1:3" ht="13.8" x14ac:dyDescent="0.25">
      <c r="A238" s="250">
        <v>37905</v>
      </c>
      <c r="B238" s="251" t="s">
        <v>101</v>
      </c>
      <c r="C238" s="6">
        <v>72040</v>
      </c>
    </row>
    <row r="239" spans="1:3" ht="13.8" x14ac:dyDescent="0.25">
      <c r="A239" s="250">
        <v>38000</v>
      </c>
      <c r="B239" s="251" t="s">
        <v>383</v>
      </c>
      <c r="C239" s="6">
        <v>1087837</v>
      </c>
    </row>
    <row r="240" spans="1:3" ht="13.8" x14ac:dyDescent="0.25">
      <c r="A240" s="250">
        <v>38005</v>
      </c>
      <c r="B240" s="251" t="s">
        <v>102</v>
      </c>
      <c r="C240" s="6">
        <v>229459</v>
      </c>
    </row>
    <row r="241" spans="1:3" ht="13.8" x14ac:dyDescent="0.25">
      <c r="A241" s="250">
        <v>38100</v>
      </c>
      <c r="B241" s="251" t="s">
        <v>384</v>
      </c>
      <c r="C241" s="6">
        <v>477150</v>
      </c>
    </row>
    <row r="242" spans="1:3" ht="13.8" x14ac:dyDescent="0.25">
      <c r="A242" s="250">
        <v>38105</v>
      </c>
      <c r="B242" s="251" t="s">
        <v>103</v>
      </c>
      <c r="C242" s="6">
        <v>91733</v>
      </c>
    </row>
    <row r="243" spans="1:3" ht="13.8" x14ac:dyDescent="0.25">
      <c r="A243" s="248">
        <v>38200</v>
      </c>
      <c r="B243" s="249" t="s">
        <v>385</v>
      </c>
      <c r="C243" s="6">
        <v>466319</v>
      </c>
    </row>
    <row r="244" spans="1:3" ht="13.8" x14ac:dyDescent="0.25">
      <c r="A244" s="248">
        <v>38205</v>
      </c>
      <c r="B244" s="249" t="s">
        <v>104</v>
      </c>
      <c r="C244" s="6">
        <v>66950</v>
      </c>
    </row>
    <row r="245" spans="1:3" ht="13.8" x14ac:dyDescent="0.25">
      <c r="A245" s="248">
        <v>38210</v>
      </c>
      <c r="B245" s="249" t="s">
        <v>386</v>
      </c>
      <c r="C245" s="6">
        <v>182311</v>
      </c>
    </row>
    <row r="246" spans="1:3" ht="13.8" x14ac:dyDescent="0.25">
      <c r="A246" s="248">
        <v>38300</v>
      </c>
      <c r="B246" s="249" t="s">
        <v>387</v>
      </c>
      <c r="C246" s="6">
        <v>364550</v>
      </c>
    </row>
    <row r="247" spans="1:3" ht="13.8" x14ac:dyDescent="0.25">
      <c r="A247" s="248">
        <v>38400</v>
      </c>
      <c r="B247" s="249" t="s">
        <v>388</v>
      </c>
      <c r="C247" s="6">
        <v>458991</v>
      </c>
    </row>
    <row r="248" spans="1:3" ht="13.8" x14ac:dyDescent="0.25">
      <c r="A248" s="248">
        <v>38402</v>
      </c>
      <c r="B248" s="249" t="s">
        <v>389</v>
      </c>
      <c r="C248" s="6">
        <v>33845</v>
      </c>
    </row>
    <row r="249" spans="1:3" ht="13.8" x14ac:dyDescent="0.25">
      <c r="A249" s="250">
        <v>38405</v>
      </c>
      <c r="B249" s="251" t="s">
        <v>105</v>
      </c>
      <c r="C249" s="6">
        <v>109134</v>
      </c>
    </row>
    <row r="250" spans="1:3" ht="13.8" x14ac:dyDescent="0.25">
      <c r="A250" s="250">
        <v>38500</v>
      </c>
      <c r="B250" s="251" t="s">
        <v>390</v>
      </c>
      <c r="C250" s="6">
        <v>360470</v>
      </c>
    </row>
    <row r="251" spans="1:3" ht="13.8" x14ac:dyDescent="0.25">
      <c r="A251" s="250">
        <v>38600</v>
      </c>
      <c r="B251" s="251" t="s">
        <v>391</v>
      </c>
      <c r="C251" s="6">
        <v>443160</v>
      </c>
    </row>
    <row r="252" spans="1:3" ht="13.8" x14ac:dyDescent="0.25">
      <c r="A252" s="250">
        <v>38602</v>
      </c>
      <c r="B252" s="251" t="s">
        <v>393</v>
      </c>
      <c r="C252" s="6">
        <v>39296</v>
      </c>
    </row>
    <row r="253" spans="1:3" ht="13.8" x14ac:dyDescent="0.25">
      <c r="A253" s="250">
        <v>38605</v>
      </c>
      <c r="B253" s="251" t="s">
        <v>106</v>
      </c>
      <c r="C253" s="6">
        <v>114188</v>
      </c>
    </row>
    <row r="254" spans="1:3" ht="13.8" x14ac:dyDescent="0.25">
      <c r="A254" s="250">
        <v>38610</v>
      </c>
      <c r="B254" s="251" t="s">
        <v>394</v>
      </c>
      <c r="C254" s="6">
        <v>106336</v>
      </c>
    </row>
    <row r="255" spans="1:3" ht="13.8" x14ac:dyDescent="0.25">
      <c r="A255" s="248">
        <v>38620</v>
      </c>
      <c r="B255" s="249" t="s">
        <v>395</v>
      </c>
      <c r="C255" s="6">
        <v>78448</v>
      </c>
    </row>
    <row r="256" spans="1:3" ht="13.8" x14ac:dyDescent="0.25">
      <c r="A256" s="248">
        <v>38700</v>
      </c>
      <c r="B256" s="249" t="s">
        <v>396</v>
      </c>
      <c r="C256" s="6">
        <v>138827</v>
      </c>
    </row>
    <row r="257" spans="1:3" ht="13.8" x14ac:dyDescent="0.25">
      <c r="A257" s="248">
        <v>38701</v>
      </c>
      <c r="B257" s="249" t="s">
        <v>476</v>
      </c>
      <c r="C257" s="6">
        <v>10181</v>
      </c>
    </row>
    <row r="258" spans="1:3" ht="13.8" x14ac:dyDescent="0.25">
      <c r="A258" s="248">
        <v>38800</v>
      </c>
      <c r="B258" s="249" t="s">
        <v>397</v>
      </c>
      <c r="C258" s="6">
        <v>246409</v>
      </c>
    </row>
    <row r="259" spans="1:3" ht="13.8" x14ac:dyDescent="0.25">
      <c r="A259" s="248">
        <v>38801</v>
      </c>
      <c r="B259" s="249" t="s">
        <v>398</v>
      </c>
      <c r="C259" s="6">
        <v>23646</v>
      </c>
    </row>
    <row r="260" spans="1:3" ht="13.8" x14ac:dyDescent="0.25">
      <c r="A260" s="248">
        <v>38900</v>
      </c>
      <c r="B260" s="249" t="s">
        <v>399</v>
      </c>
      <c r="C260" s="6">
        <v>53303</v>
      </c>
    </row>
    <row r="261" spans="1:3" ht="13.8" x14ac:dyDescent="0.25">
      <c r="A261" s="250">
        <v>39000</v>
      </c>
      <c r="B261" s="251" t="s">
        <v>400</v>
      </c>
      <c r="C261" s="6">
        <v>2378004</v>
      </c>
    </row>
    <row r="262" spans="1:3" ht="13.8" x14ac:dyDescent="0.25">
      <c r="A262" s="250">
        <v>39100</v>
      </c>
      <c r="B262" s="251" t="s">
        <v>401</v>
      </c>
      <c r="C262" s="6">
        <v>259893</v>
      </c>
    </row>
    <row r="263" spans="1:3" ht="13.8" x14ac:dyDescent="0.25">
      <c r="A263" s="250">
        <v>39101</v>
      </c>
      <c r="B263" s="251" t="s">
        <v>402</v>
      </c>
      <c r="C263" s="6">
        <v>45957</v>
      </c>
    </row>
    <row r="264" spans="1:3" ht="13.8" x14ac:dyDescent="0.25">
      <c r="A264" s="250">
        <v>39105</v>
      </c>
      <c r="B264" s="251" t="s">
        <v>107</v>
      </c>
      <c r="C264" s="6">
        <v>103502</v>
      </c>
    </row>
    <row r="265" spans="1:3" ht="13.8" x14ac:dyDescent="0.25">
      <c r="A265" s="250">
        <v>39200</v>
      </c>
      <c r="B265" s="251" t="s">
        <v>477</v>
      </c>
      <c r="C265" s="6">
        <v>10321135</v>
      </c>
    </row>
    <row r="266" spans="1:3" ht="13.8" x14ac:dyDescent="0.25">
      <c r="A266" s="250">
        <v>39201</v>
      </c>
      <c r="B266" s="251" t="s">
        <v>403</v>
      </c>
      <c r="C266" s="6">
        <v>37130</v>
      </c>
    </row>
    <row r="267" spans="1:3" ht="13.8" x14ac:dyDescent="0.25">
      <c r="A267" s="248">
        <v>39204</v>
      </c>
      <c r="B267" s="249" t="s">
        <v>404</v>
      </c>
      <c r="C267" s="6">
        <v>40704</v>
      </c>
    </row>
    <row r="268" spans="1:3" ht="13.8" x14ac:dyDescent="0.25">
      <c r="A268" s="248">
        <v>39205</v>
      </c>
      <c r="B268" s="249" t="s">
        <v>108</v>
      </c>
      <c r="C268" s="6">
        <v>874985</v>
      </c>
    </row>
    <row r="269" spans="1:3" ht="13.8" x14ac:dyDescent="0.25">
      <c r="A269" s="248">
        <v>39208</v>
      </c>
      <c r="B269" s="249" t="s">
        <v>478</v>
      </c>
      <c r="C269" s="6">
        <v>63989</v>
      </c>
    </row>
    <row r="270" spans="1:3" ht="13.8" x14ac:dyDescent="0.25">
      <c r="A270" s="248">
        <v>39220</v>
      </c>
      <c r="B270" s="249" t="s">
        <v>430</v>
      </c>
      <c r="C270" s="6">
        <v>9783</v>
      </c>
    </row>
    <row r="271" spans="1:3" ht="13.8" x14ac:dyDescent="0.25">
      <c r="A271" s="248">
        <v>39300</v>
      </c>
      <c r="B271" s="249" t="s">
        <v>406</v>
      </c>
      <c r="C271" s="6">
        <v>103755</v>
      </c>
    </row>
    <row r="272" spans="1:3" ht="13.8" x14ac:dyDescent="0.25">
      <c r="A272" s="248">
        <v>39301</v>
      </c>
      <c r="B272" s="249" t="s">
        <v>407</v>
      </c>
      <c r="C272" s="6">
        <v>6209</v>
      </c>
    </row>
    <row r="273" spans="1:3" ht="13.8" x14ac:dyDescent="0.25">
      <c r="A273" s="248">
        <v>39400</v>
      </c>
      <c r="B273" s="249" t="s">
        <v>408</v>
      </c>
      <c r="C273" s="6">
        <v>64368</v>
      </c>
    </row>
    <row r="274" spans="1:3" ht="13.8" x14ac:dyDescent="0.25">
      <c r="A274" s="248">
        <v>39401</v>
      </c>
      <c r="B274" s="249" t="s">
        <v>409</v>
      </c>
      <c r="C274" s="6">
        <v>79441</v>
      </c>
    </row>
    <row r="275" spans="1:3" ht="13.8" x14ac:dyDescent="0.25">
      <c r="A275" s="248">
        <v>39500</v>
      </c>
      <c r="B275" s="249" t="s">
        <v>410</v>
      </c>
      <c r="C275" s="6">
        <v>362366</v>
      </c>
    </row>
    <row r="276" spans="1:3" ht="13.8" x14ac:dyDescent="0.25">
      <c r="A276" s="248">
        <v>39501</v>
      </c>
      <c r="B276" s="249" t="s">
        <v>479</v>
      </c>
      <c r="C276" s="6">
        <v>8809</v>
      </c>
    </row>
    <row r="277" spans="1:3" ht="13.8" x14ac:dyDescent="0.25">
      <c r="A277" s="248">
        <v>39600</v>
      </c>
      <c r="B277" s="249" t="s">
        <v>411</v>
      </c>
      <c r="C277" s="6">
        <v>915978</v>
      </c>
    </row>
    <row r="278" spans="1:3" ht="13.8" x14ac:dyDescent="0.25">
      <c r="A278" s="248">
        <v>39605</v>
      </c>
      <c r="B278" s="249" t="s">
        <v>109</v>
      </c>
      <c r="C278" s="6">
        <v>146986</v>
      </c>
    </row>
    <row r="279" spans="1:3" ht="13.8" x14ac:dyDescent="0.25">
      <c r="A279" s="250">
        <v>39700</v>
      </c>
      <c r="B279" s="251" t="s">
        <v>412</v>
      </c>
      <c r="C279" s="6">
        <v>545327</v>
      </c>
    </row>
    <row r="280" spans="1:3" ht="13.8" x14ac:dyDescent="0.25">
      <c r="A280" s="250">
        <v>39703</v>
      </c>
      <c r="B280" s="251" t="s">
        <v>413</v>
      </c>
      <c r="C280" s="6">
        <v>38664</v>
      </c>
    </row>
    <row r="281" spans="1:3" ht="13.8" x14ac:dyDescent="0.25">
      <c r="A281" s="250">
        <v>39705</v>
      </c>
      <c r="B281" s="251" t="s">
        <v>110</v>
      </c>
      <c r="C281" s="6">
        <v>139134</v>
      </c>
    </row>
    <row r="282" spans="1:3" ht="13.8" x14ac:dyDescent="0.25">
      <c r="A282" s="250">
        <v>39800</v>
      </c>
      <c r="B282" s="251" t="s">
        <v>414</v>
      </c>
      <c r="C282" s="6">
        <v>595543</v>
      </c>
    </row>
    <row r="283" spans="1:3" ht="13.8" x14ac:dyDescent="0.25">
      <c r="A283" s="250">
        <v>39805</v>
      </c>
      <c r="B283" s="251" t="s">
        <v>111</v>
      </c>
      <c r="C283" s="6">
        <v>70054</v>
      </c>
    </row>
    <row r="284" spans="1:3" ht="13.8" x14ac:dyDescent="0.25">
      <c r="A284" s="250">
        <v>39900</v>
      </c>
      <c r="B284" s="251" t="s">
        <v>415</v>
      </c>
      <c r="C284" s="6">
        <v>319189</v>
      </c>
    </row>
    <row r="285" spans="1:3" ht="13.8" x14ac:dyDescent="0.25">
      <c r="A285" s="248">
        <v>40000</v>
      </c>
      <c r="B285" s="249" t="s">
        <v>416</v>
      </c>
      <c r="C285" s="6">
        <v>559749</v>
      </c>
    </row>
    <row r="286" spans="1:3" ht="13.8" x14ac:dyDescent="0.25">
      <c r="A286" s="248">
        <v>51000</v>
      </c>
      <c r="B286" s="249" t="s">
        <v>480</v>
      </c>
      <c r="C286" s="6">
        <v>4537740</v>
      </c>
    </row>
    <row r="287" spans="1:3" ht="13.8" x14ac:dyDescent="0.25">
      <c r="A287" s="252">
        <v>51000.2</v>
      </c>
      <c r="B287" s="249" t="s">
        <v>481</v>
      </c>
      <c r="C287" s="6">
        <v>6841</v>
      </c>
    </row>
    <row r="288" spans="1:3" ht="13.8" x14ac:dyDescent="0.25">
      <c r="A288" s="252">
        <v>51000.3</v>
      </c>
      <c r="B288" s="249" t="s">
        <v>888</v>
      </c>
      <c r="C288" s="6">
        <v>140452</v>
      </c>
    </row>
    <row r="289" spans="1:3" ht="13.8" x14ac:dyDescent="0.25">
      <c r="A289" s="248">
        <v>60000</v>
      </c>
      <c r="B289" s="249" t="s">
        <v>482</v>
      </c>
      <c r="C289" s="6">
        <v>23267</v>
      </c>
    </row>
    <row r="290" spans="1:3" ht="13.8" x14ac:dyDescent="0.25">
      <c r="A290" s="248">
        <v>90901</v>
      </c>
      <c r="B290" s="249" t="s">
        <v>417</v>
      </c>
      <c r="C290" s="6">
        <v>149369</v>
      </c>
    </row>
    <row r="291" spans="1:3" ht="13.8" x14ac:dyDescent="0.25">
      <c r="A291" s="250">
        <v>91041</v>
      </c>
      <c r="B291" s="251" t="s">
        <v>418</v>
      </c>
      <c r="C291" s="6">
        <v>30632</v>
      </c>
    </row>
    <row r="292" spans="1:3" ht="13.8" x14ac:dyDescent="0.25">
      <c r="A292" s="250">
        <v>91111</v>
      </c>
      <c r="B292" s="251" t="s">
        <v>419</v>
      </c>
      <c r="C292" s="6">
        <v>14621</v>
      </c>
    </row>
    <row r="293" spans="1:3" ht="13.8" x14ac:dyDescent="0.25">
      <c r="A293" s="250">
        <v>91151</v>
      </c>
      <c r="B293" s="251" t="s">
        <v>420</v>
      </c>
      <c r="C293" s="6">
        <v>46480</v>
      </c>
    </row>
    <row r="294" spans="1:3" ht="13.8" x14ac:dyDescent="0.25">
      <c r="A294" s="250">
        <v>98101</v>
      </c>
      <c r="B294" s="251" t="s">
        <v>421</v>
      </c>
      <c r="C294" s="6">
        <v>199567</v>
      </c>
    </row>
    <row r="295" spans="1:3" ht="13.8" x14ac:dyDescent="0.25">
      <c r="A295" s="250">
        <v>98103</v>
      </c>
      <c r="B295" s="251" t="s">
        <v>483</v>
      </c>
      <c r="C295" s="6">
        <v>35957</v>
      </c>
    </row>
    <row r="296" spans="1:3" ht="13.8" x14ac:dyDescent="0.25">
      <c r="A296" s="250">
        <v>98111</v>
      </c>
      <c r="B296" s="251" t="s">
        <v>422</v>
      </c>
      <c r="C296" s="6">
        <v>70560</v>
      </c>
    </row>
    <row r="297" spans="1:3" ht="13.8" x14ac:dyDescent="0.25">
      <c r="A297" s="248">
        <v>98131</v>
      </c>
      <c r="B297" s="249" t="s">
        <v>423</v>
      </c>
      <c r="C297" s="6">
        <v>16426</v>
      </c>
    </row>
    <row r="298" spans="1:3" ht="13.8" x14ac:dyDescent="0.25">
      <c r="A298" s="248">
        <v>99401</v>
      </c>
      <c r="B298" s="249" t="s">
        <v>424</v>
      </c>
      <c r="C298" s="6">
        <v>58285</v>
      </c>
    </row>
    <row r="299" spans="1:3" ht="13.8" x14ac:dyDescent="0.25">
      <c r="A299" s="248">
        <v>99521</v>
      </c>
      <c r="B299" s="249" t="s">
        <v>425</v>
      </c>
      <c r="C299" s="6">
        <v>38791</v>
      </c>
    </row>
    <row r="300" spans="1:3" ht="13.8" x14ac:dyDescent="0.25">
      <c r="A300" s="248">
        <v>99831</v>
      </c>
      <c r="B300" s="249" t="s">
        <v>426</v>
      </c>
      <c r="C300" s="6">
        <v>2130</v>
      </c>
    </row>
    <row r="303" spans="1:3" ht="15.6" x14ac:dyDescent="0.3">
      <c r="A303" s="245"/>
      <c r="B303" s="246"/>
    </row>
    <row r="305" spans="2:4" ht="15.6" x14ac:dyDescent="0.3">
      <c r="B305" s="246" t="s">
        <v>507</v>
      </c>
      <c r="C305" s="6">
        <f>SUM(C3:C304)</f>
        <v>180505998</v>
      </c>
      <c r="D305" s="2" t="s">
        <v>508</v>
      </c>
    </row>
  </sheetData>
  <conditionalFormatting sqref="A45">
    <cfRule type="duplicateValues" dxfId="27" priority="1"/>
  </conditionalFormatting>
  <conditionalFormatting sqref="A46:A55 A3:A44">
    <cfRule type="duplicateValues" dxfId="26" priority="28"/>
  </conditionalFormatting>
  <conditionalFormatting sqref="A56">
    <cfRule type="duplicateValues" dxfId="25" priority="2"/>
  </conditionalFormatting>
  <conditionalFormatting sqref="A57 A280:A285 A292:A297">
    <cfRule type="duplicateValues" dxfId="24" priority="3"/>
  </conditionalFormatting>
  <conditionalFormatting sqref="A58:A98 A100:A109">
    <cfRule type="duplicateValues" dxfId="23" priority="4"/>
  </conditionalFormatting>
  <conditionalFormatting sqref="A99">
    <cfRule type="duplicateValues" dxfId="22" priority="5"/>
  </conditionalFormatting>
  <conditionalFormatting sqref="A110">
    <cfRule type="duplicateValues" dxfId="21" priority="6"/>
  </conditionalFormatting>
  <conditionalFormatting sqref="A111">
    <cfRule type="duplicateValues" dxfId="20" priority="7"/>
  </conditionalFormatting>
  <conditionalFormatting sqref="A112:A152 A154:A163">
    <cfRule type="duplicateValues" dxfId="19" priority="8"/>
  </conditionalFormatting>
  <conditionalFormatting sqref="A153">
    <cfRule type="duplicateValues" dxfId="18" priority="9"/>
  </conditionalFormatting>
  <conditionalFormatting sqref="A164">
    <cfRule type="duplicateValues" dxfId="17" priority="10"/>
  </conditionalFormatting>
  <conditionalFormatting sqref="A165">
    <cfRule type="duplicateValues" dxfId="16" priority="11"/>
  </conditionalFormatting>
  <conditionalFormatting sqref="A166:A206 A208:A217">
    <cfRule type="duplicateValues" dxfId="15" priority="12"/>
  </conditionalFormatting>
  <conditionalFormatting sqref="A207">
    <cfRule type="duplicateValues" dxfId="14" priority="13"/>
  </conditionalFormatting>
  <conditionalFormatting sqref="A218">
    <cfRule type="duplicateValues" dxfId="13" priority="14"/>
  </conditionalFormatting>
  <conditionalFormatting sqref="A219">
    <cfRule type="duplicateValues" dxfId="12" priority="15"/>
  </conditionalFormatting>
  <conditionalFormatting sqref="A220:A260 A262:A271">
    <cfRule type="duplicateValues" dxfId="11" priority="27"/>
  </conditionalFormatting>
  <conditionalFormatting sqref="A261">
    <cfRule type="duplicateValues" dxfId="10" priority="16"/>
  </conditionalFormatting>
  <conditionalFormatting sqref="A272">
    <cfRule type="duplicateValues" dxfId="9" priority="17"/>
  </conditionalFormatting>
  <conditionalFormatting sqref="A273">
    <cfRule type="duplicateValues" dxfId="8" priority="18"/>
  </conditionalFormatting>
  <conditionalFormatting sqref="A274:A277">
    <cfRule type="duplicateValues" dxfId="7" priority="19"/>
  </conditionalFormatting>
  <conditionalFormatting sqref="A278">
    <cfRule type="duplicateValues" dxfId="6" priority="20"/>
  </conditionalFormatting>
  <conditionalFormatting sqref="A279">
    <cfRule type="duplicateValues" dxfId="5" priority="21"/>
  </conditionalFormatting>
  <conditionalFormatting sqref="A286:A289">
    <cfRule type="duplicateValues" dxfId="4" priority="22"/>
  </conditionalFormatting>
  <conditionalFormatting sqref="A290">
    <cfRule type="duplicateValues" dxfId="3" priority="23"/>
  </conditionalFormatting>
  <conditionalFormatting sqref="A291">
    <cfRule type="duplicateValues" dxfId="2" priority="24"/>
  </conditionalFormatting>
  <conditionalFormatting sqref="A298:A301">
    <cfRule type="duplicateValues" dxfId="1" priority="25"/>
  </conditionalFormatting>
  <conditionalFormatting sqref="A302">
    <cfRule type="duplicateValues" dxfId="0" priority="26"/>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Info</vt:lpstr>
      <vt:lpstr>Detail</vt:lpstr>
      <vt:lpstr>Summary</vt:lpstr>
      <vt:lpstr>Disclosures</vt:lpstr>
      <vt:lpstr>Data</vt:lpstr>
      <vt:lpstr>ER Contributions</vt:lpstr>
      <vt:lpstr>75 - Summary Exhibit</vt:lpstr>
      <vt:lpstr>75- Deferred Amortization</vt:lpstr>
      <vt:lpstr>Noncap Contr Alloc</vt:lpstr>
      <vt:lpstr>'75 - Summary Exhibit'!Print_Area</vt:lpstr>
      <vt:lpstr>'75- Deferred Amortization'!Print_Area</vt:lpstr>
      <vt:lpstr>Data!Print_Area</vt:lpstr>
      <vt:lpstr>Detail!Print_Area</vt:lpstr>
      <vt:lpstr>Disclosures!Print_Area</vt:lpstr>
      <vt:lpstr>'ER Contributions'!Print_Area</vt:lpstr>
      <vt:lpstr>Summary!Print_Area</vt:lpstr>
      <vt:lpstr>'75- Deferred Amortization'!Print_Titles</vt:lpstr>
      <vt:lpstr>Disclosures!Print_Titles</vt:lpstr>
    </vt:vector>
  </TitlesOfParts>
  <Company>State of North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 Murphy</dc:creator>
  <cp:lastModifiedBy>Sisson, Virginia P</cp:lastModifiedBy>
  <cp:lastPrinted>2023-05-03T17:44:02Z</cp:lastPrinted>
  <dcterms:created xsi:type="dcterms:W3CDTF">2007-09-03T15:01:56Z</dcterms:created>
  <dcterms:modified xsi:type="dcterms:W3CDTF">2023-05-22T18:35:31Z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